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C:\Users\cityadmin\Documents\City Admin\Budget\2023 Budget\"/>
    </mc:Choice>
  </mc:AlternateContent>
  <xr:revisionPtr revIDLastSave="0" documentId="13_ncr:1_{A753A491-1E4F-4027-9DFE-73C3DDE24E6F}" xr6:coauthVersionLast="47" xr6:coauthVersionMax="47" xr10:uidLastSave="{00000000-0000-0000-0000-000000000000}"/>
  <bookViews>
    <workbookView xWindow="-120" yWindow="-120" windowWidth="29040" windowHeight="15840" tabRatio="909" firstSheet="25" activeTab="32" xr2:uid="{00000000-000D-0000-FFFF-FFFF00000000}"/>
  </bookViews>
  <sheets>
    <sheet name="Instructions" sheetId="55" r:id="rId1"/>
    <sheet name="inputPrYr" sheetId="2" r:id="rId2"/>
    <sheet name="inputOth" sheetId="29" r:id="rId3"/>
    <sheet name="inputHearing" sheetId="56" r:id="rId4"/>
    <sheet name="CPA Summary" sheetId="54" r:id="rId5"/>
    <sheet name="Cert" sheetId="3" r:id="rId6"/>
    <sheet name="Mvalloc" sheetId="5" r:id="rId7"/>
    <sheet name="Transfers" sheetId="27" r:id="rId8"/>
    <sheet name="Transfer Statutes" sheetId="37" r:id="rId9"/>
    <sheet name="Debt" sheetId="22" r:id="rId10"/>
    <sheet name="LP Form" sheetId="23" r:id="rId11"/>
    <sheet name="Library Grant " sheetId="48" r:id="rId12"/>
    <sheet name="General" sheetId="7" r:id="rId13"/>
    <sheet name="General Detail" sheetId="9" r:id="rId14"/>
    <sheet name="DebtSvs-Library" sheetId="28" r:id="rId15"/>
    <sheet name="Bond &amp; Interest" sheetId="8" r:id="rId16"/>
    <sheet name="Levy Page 10" sheetId="10" r:id="rId17"/>
    <sheet name="Levy Page 11" sheetId="11" r:id="rId18"/>
    <sheet name="Levy Page 12" sheetId="12" r:id="rId19"/>
    <sheet name="Levy Page 13" sheetId="13" r:id="rId20"/>
    <sheet name="Spec Hwy &amp; RHID" sheetId="14" r:id="rId21"/>
    <sheet name="Water &amp; Sewer" sheetId="15" r:id="rId22"/>
    <sheet name="Trash" sheetId="16" r:id="rId23"/>
    <sheet name="No Levy Page 17" sheetId="17" r:id="rId24"/>
    <sheet name="Single No Levy Page 18" sheetId="31" r:id="rId25"/>
    <sheet name="Single No Levy Page 19" sheetId="32" r:id="rId26"/>
    <sheet name="Single No Levy Page 20" sheetId="33" r:id="rId27"/>
    <sheet name="Single No Levy Page 21" sheetId="34" r:id="rId28"/>
    <sheet name="Non-Budgeted Funds A" sheetId="30" r:id="rId29"/>
    <sheet name="Non-Budgeted Funds B" sheetId="35" r:id="rId30"/>
    <sheet name="Non-Bud Fund Statutes" sheetId="43" r:id="rId31"/>
    <sheet name="Budget Hearing Notice" sheetId="21" r:id="rId32"/>
    <sheet name="Combined Rate-Bud Hearing Notic" sheetId="57" r:id="rId33"/>
    <sheet name="RNR Hearing Notice" sheetId="58" r:id="rId34"/>
    <sheet name="NR Rebate" sheetId="36" r:id="rId35"/>
    <sheet name="SAMPLE Notice to County Clerk" sheetId="60" r:id="rId36"/>
    <sheet name="SAMPLE Res to Exceed RNR" sheetId="59" r:id="rId37"/>
    <sheet name="Tab A" sheetId="38" r:id="rId38"/>
    <sheet name="Tab B" sheetId="39" r:id="rId39"/>
    <sheet name="Tab C" sheetId="40" r:id="rId40"/>
    <sheet name="Tab D" sheetId="41" r:id="rId41"/>
    <sheet name="Tab E" sheetId="42" r:id="rId42"/>
    <sheet name="Mill Rate Computation" sheetId="45" r:id="rId43"/>
    <sheet name="Helpful Links" sheetId="61" r:id="rId44"/>
    <sheet name="Legend" sheetId="25" r:id="rId45"/>
  </sheets>
  <definedNames>
    <definedName name="_xlnm.Print_Area" localSheetId="15">'Bond &amp; Interest'!$A$1:$E$87</definedName>
    <definedName name="_xlnm.Print_Area" localSheetId="31">'Budget Hearing Notice'!$A$1:$H$63</definedName>
    <definedName name="_xlnm.Print_Area" localSheetId="5">Cert!$B$1:$G$71</definedName>
    <definedName name="_xlnm.Print_Area" localSheetId="32">'Combined Rate-Bud Hearing Notic'!$A$1:$H$63</definedName>
    <definedName name="_xlnm.Print_Area" localSheetId="14">'DebtSvs-Library'!$B$1:$E$87</definedName>
    <definedName name="_xlnm.Print_Area" localSheetId="12">General!$B$1:$E$120</definedName>
    <definedName name="_xlnm.Print_Area" localSheetId="13">'General Detail'!$A$1:$D$61</definedName>
    <definedName name="_xlnm.Print_Area" localSheetId="1">inputPrYr!$A$1:$E$120</definedName>
    <definedName name="_xlnm.Print_Area" localSheetId="16">'Levy Page 10'!$B$1:$E$87</definedName>
    <definedName name="_xlnm.Print_Area" localSheetId="17">'Levy Page 11'!$A$1:$E$87</definedName>
    <definedName name="_xlnm.Print_Area" localSheetId="18">'Levy Page 12'!$A$1:$E$87</definedName>
    <definedName name="_xlnm.Print_Area" localSheetId="19">'Levy Page 13'!$A$1:$E$87</definedName>
    <definedName name="_xlnm.Print_Area" localSheetId="11">'Library Grant '!$A$1:$J$40</definedName>
    <definedName name="_xlnm.Print_Area" localSheetId="10">'LP Form'!$B$1:$I$38</definedName>
    <definedName name="_xlnm.Print_Area" localSheetId="42">'Mill Rate Computation'!#REF!</definedName>
    <definedName name="_xlnm.Print_Area" localSheetId="6">Mvalloc!$A$1:$I$35</definedName>
    <definedName name="_xlnm.Print_Area" localSheetId="33">'RNR Hearing Notice'!$A$1:$H$17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4" i="21" l="1"/>
  <c r="D12" i="58" s="1"/>
  <c r="A6" i="57"/>
  <c r="A60" i="57"/>
  <c r="B61" i="57"/>
  <c r="A8" i="57"/>
  <c r="D51" i="3" l="1"/>
  <c r="D50" i="3"/>
  <c r="D49" i="3"/>
  <c r="D48" i="3"/>
  <c r="G54" i="3"/>
  <c r="A10" i="58" l="1"/>
  <c r="G72" i="28"/>
  <c r="G31" i="28"/>
  <c r="G104" i="7"/>
  <c r="G72" i="10"/>
  <c r="G72" i="13"/>
  <c r="G30" i="13"/>
  <c r="G74" i="12"/>
  <c r="G32" i="12"/>
  <c r="G73" i="11"/>
  <c r="G31" i="11"/>
  <c r="G30" i="10"/>
  <c r="G32" i="8"/>
  <c r="G74" i="8"/>
  <c r="A6" i="21"/>
  <c r="A6" i="58"/>
  <c r="A5" i="58"/>
  <c r="M55" i="57"/>
  <c r="D55" i="57"/>
  <c r="B55" i="57"/>
  <c r="D54" i="57"/>
  <c r="B54" i="57"/>
  <c r="D53" i="57"/>
  <c r="B53" i="57"/>
  <c r="D52" i="57"/>
  <c r="B52" i="57"/>
  <c r="F49" i="57"/>
  <c r="M54" i="57" s="1"/>
  <c r="D49" i="57"/>
  <c r="B49" i="57"/>
  <c r="B47" i="57"/>
  <c r="H44" i="57"/>
  <c r="A42" i="57"/>
  <c r="A41" i="57"/>
  <c r="A40" i="57"/>
  <c r="A39" i="57"/>
  <c r="A38" i="57"/>
  <c r="A37" i="57"/>
  <c r="A36" i="57"/>
  <c r="A35" i="57"/>
  <c r="A34" i="57"/>
  <c r="A33" i="57"/>
  <c r="A32" i="57"/>
  <c r="A31" i="57"/>
  <c r="A30" i="57"/>
  <c r="A29" i="57"/>
  <c r="E28" i="57"/>
  <c r="C28" i="57"/>
  <c r="A28" i="57"/>
  <c r="E27" i="57"/>
  <c r="C27" i="57"/>
  <c r="A27" i="57"/>
  <c r="E26" i="57"/>
  <c r="C26" i="57"/>
  <c r="A26" i="57"/>
  <c r="E25" i="57"/>
  <c r="C25" i="57"/>
  <c r="A25" i="57"/>
  <c r="E24" i="57"/>
  <c r="C24" i="57"/>
  <c r="A24" i="57"/>
  <c r="E23" i="57"/>
  <c r="C23" i="57"/>
  <c r="A23" i="57"/>
  <c r="E22" i="57"/>
  <c r="C22" i="57"/>
  <c r="A22" i="57"/>
  <c r="E21" i="57"/>
  <c r="C21" i="57"/>
  <c r="A21" i="57"/>
  <c r="E20" i="57"/>
  <c r="C20" i="57"/>
  <c r="A20" i="57"/>
  <c r="E19" i="57"/>
  <c r="C19" i="57"/>
  <c r="A19" i="57"/>
  <c r="E18" i="57"/>
  <c r="C18" i="57"/>
  <c r="A18" i="57"/>
  <c r="E17" i="57"/>
  <c r="C17" i="57"/>
  <c r="A17" i="57"/>
  <c r="E16" i="57"/>
  <c r="E43" i="57" s="1"/>
  <c r="M38" i="57" s="1"/>
  <c r="M46" i="57" s="1"/>
  <c r="C16" i="57"/>
  <c r="A16" i="57"/>
  <c r="A5" i="57"/>
  <c r="H1" i="57"/>
  <c r="B13" i="57" s="1"/>
  <c r="A60" i="21"/>
  <c r="B61" i="21"/>
  <c r="A8" i="21"/>
  <c r="J14" i="8"/>
  <c r="J15" i="8"/>
  <c r="J16" i="8"/>
  <c r="D56" i="57" l="1"/>
  <c r="M34" i="57"/>
  <c r="J55" i="57"/>
  <c r="J54" i="57"/>
  <c r="B56" i="57"/>
  <c r="C43" i="57"/>
  <c r="M51" i="57"/>
  <c r="D13" i="57"/>
  <c r="J43" i="57"/>
  <c r="F13" i="57"/>
  <c r="J52" i="57"/>
  <c r="G14" i="57"/>
  <c r="J46" i="57"/>
  <c r="B51" i="57"/>
  <c r="J32" i="57"/>
  <c r="D51" i="57"/>
  <c r="J39" i="57"/>
  <c r="F51" i="57"/>
  <c r="J36" i="57"/>
  <c r="J45" i="57"/>
  <c r="A10" i="57"/>
  <c r="J38" i="57"/>
  <c r="J53" i="57"/>
  <c r="D62" i="7" l="1"/>
  <c r="B61" i="9" s="1"/>
  <c r="E18" i="36"/>
  <c r="E59" i="13" s="1"/>
  <c r="E17" i="36"/>
  <c r="E17" i="13" s="1"/>
  <c r="E16" i="36"/>
  <c r="E59" i="12" s="1"/>
  <c r="E15" i="36"/>
  <c r="E20" i="12" s="1"/>
  <c r="E14" i="36"/>
  <c r="E60" i="11" s="1"/>
  <c r="E13" i="36"/>
  <c r="E20" i="11" s="1"/>
  <c r="E12" i="36"/>
  <c r="E59" i="10" s="1"/>
  <c r="E11" i="36"/>
  <c r="E17" i="10" s="1"/>
  <c r="E10" i="36"/>
  <c r="E60" i="8" s="1"/>
  <c r="E9" i="36"/>
  <c r="E18" i="8" s="1"/>
  <c r="E8" i="36"/>
  <c r="E59" i="28" s="1"/>
  <c r="E7" i="36"/>
  <c r="E20" i="28" s="1"/>
  <c r="E6" i="36"/>
  <c r="E56" i="7" s="1"/>
  <c r="C20" i="13"/>
  <c r="C19" i="13" s="1"/>
  <c r="C21" i="13"/>
  <c r="C33" i="13" s="1"/>
  <c r="H26" i="5"/>
  <c r="G25" i="5"/>
  <c r="D50" i="28"/>
  <c r="E15" i="48" s="1"/>
  <c r="G24" i="2"/>
  <c r="D50" i="2"/>
  <c r="D47" i="13"/>
  <c r="D62" i="13" s="1"/>
  <c r="D61" i="13" s="1"/>
  <c r="D8" i="13"/>
  <c r="D20" i="13" s="1"/>
  <c r="D19" i="13" s="1"/>
  <c r="D50" i="12"/>
  <c r="D62" i="12" s="1"/>
  <c r="D61" i="12" s="1"/>
  <c r="D8" i="12"/>
  <c r="D23" i="12" s="1"/>
  <c r="D22" i="12" s="1"/>
  <c r="D50" i="11"/>
  <c r="D63" i="11" s="1"/>
  <c r="D62" i="11" s="1"/>
  <c r="D8" i="11"/>
  <c r="D23" i="11" s="1"/>
  <c r="D22" i="11" s="1"/>
  <c r="D47" i="10"/>
  <c r="D62" i="10" s="1"/>
  <c r="D61" i="10" s="1"/>
  <c r="D8" i="10"/>
  <c r="D20" i="10" s="1"/>
  <c r="D48" i="8"/>
  <c r="D63" i="8" s="1"/>
  <c r="D62" i="8" s="1"/>
  <c r="D8" i="8"/>
  <c r="D21" i="8" s="1"/>
  <c r="D20" i="8" s="1"/>
  <c r="D8" i="28"/>
  <c r="D23" i="28" s="1"/>
  <c r="D9" i="7"/>
  <c r="D59" i="7" s="1"/>
  <c r="D58" i="7" s="1"/>
  <c r="J16" i="12"/>
  <c r="J15" i="12"/>
  <c r="J15" i="11"/>
  <c r="J14" i="11"/>
  <c r="J14" i="10"/>
  <c r="J13" i="10"/>
  <c r="J15" i="28"/>
  <c r="J14" i="28"/>
  <c r="J54" i="28"/>
  <c r="J13" i="28"/>
  <c r="J56" i="8"/>
  <c r="J54" i="10"/>
  <c r="J12" i="10"/>
  <c r="J55" i="11"/>
  <c r="J13" i="11"/>
  <c r="J56" i="12"/>
  <c r="J14" i="12"/>
  <c r="J54" i="13"/>
  <c r="J12" i="13"/>
  <c r="J148" i="45"/>
  <c r="H134" i="45"/>
  <c r="C137" i="45"/>
  <c r="J137" i="45" s="1"/>
  <c r="H120" i="45"/>
  <c r="C123" i="45" s="1"/>
  <c r="H114" i="45"/>
  <c r="F117" i="45" s="1"/>
  <c r="H117" i="45" s="1"/>
  <c r="F123" i="45" s="1"/>
  <c r="H100" i="45"/>
  <c r="C103" i="45" s="1"/>
  <c r="J103" i="45" s="1"/>
  <c r="H94" i="45"/>
  <c r="F97" i="45" s="1"/>
  <c r="H97" i="45" s="1"/>
  <c r="F103" i="45" s="1"/>
  <c r="H80" i="45"/>
  <c r="C83" i="45" s="1"/>
  <c r="H74" i="45"/>
  <c r="F77" i="45" s="1"/>
  <c r="H77" i="45" s="1"/>
  <c r="F83" i="45" s="1"/>
  <c r="J83" i="45" s="1"/>
  <c r="H48" i="45"/>
  <c r="F50" i="45" s="1"/>
  <c r="J50" i="45" s="1"/>
  <c r="H41" i="45"/>
  <c r="B28" i="45"/>
  <c r="H28" i="45" s="1"/>
  <c r="H25" i="45"/>
  <c r="C25" i="45"/>
  <c r="G35" i="2"/>
  <c r="G34" i="2"/>
  <c r="G33" i="2"/>
  <c r="G32" i="2"/>
  <c r="G31" i="2"/>
  <c r="G30" i="2"/>
  <c r="G29" i="2"/>
  <c r="G28" i="2"/>
  <c r="G27" i="2"/>
  <c r="G26" i="2"/>
  <c r="G23" i="2"/>
  <c r="G22" i="2"/>
  <c r="D18" i="3"/>
  <c r="B18" i="3"/>
  <c r="B19" i="48"/>
  <c r="B18" i="48"/>
  <c r="B17" i="48"/>
  <c r="B16" i="48"/>
  <c r="B15" i="48"/>
  <c r="E19" i="48"/>
  <c r="E18" i="48"/>
  <c r="E17" i="48"/>
  <c r="E16" i="48"/>
  <c r="G16" i="48"/>
  <c r="G14" i="48"/>
  <c r="E14" i="48"/>
  <c r="B89" i="48" s="1"/>
  <c r="B8" i="48"/>
  <c r="B7" i="48"/>
  <c r="B5" i="48"/>
  <c r="E33" i="17"/>
  <c r="D33" i="17"/>
  <c r="C33" i="17"/>
  <c r="E33" i="16"/>
  <c r="D33" i="16"/>
  <c r="C33" i="16"/>
  <c r="E43" i="13"/>
  <c r="D43" i="13"/>
  <c r="C43" i="13"/>
  <c r="E46" i="12"/>
  <c r="D46" i="12"/>
  <c r="C46" i="12"/>
  <c r="E46" i="11"/>
  <c r="D46" i="11"/>
  <c r="C46" i="11"/>
  <c r="E43" i="10"/>
  <c r="D43" i="10"/>
  <c r="C43" i="10"/>
  <c r="E44" i="8"/>
  <c r="D44" i="8"/>
  <c r="C44" i="8"/>
  <c r="E46" i="28"/>
  <c r="D46" i="28"/>
  <c r="C46" i="28"/>
  <c r="E67" i="7"/>
  <c r="D67" i="7"/>
  <c r="C67" i="7"/>
  <c r="D38" i="13"/>
  <c r="D80" i="13"/>
  <c r="D41" i="12"/>
  <c r="D80" i="12"/>
  <c r="D41" i="11"/>
  <c r="D81" i="11"/>
  <c r="D38" i="10"/>
  <c r="D80" i="10"/>
  <c r="D81" i="8"/>
  <c r="D80" i="28"/>
  <c r="D41" i="28"/>
  <c r="D76" i="28"/>
  <c r="I2" i="5"/>
  <c r="D5" i="5" s="1"/>
  <c r="C22" i="3"/>
  <c r="B68" i="2"/>
  <c r="B8" i="36"/>
  <c r="A18" i="21"/>
  <c r="B47" i="28"/>
  <c r="C9" i="5"/>
  <c r="B9" i="5"/>
  <c r="B22" i="3"/>
  <c r="A68" i="29"/>
  <c r="A26" i="29"/>
  <c r="C76" i="13"/>
  <c r="C34" i="13"/>
  <c r="C76" i="12"/>
  <c r="C99" i="12" s="1"/>
  <c r="C37" i="12"/>
  <c r="C77" i="11"/>
  <c r="C37" i="11"/>
  <c r="C76" i="10"/>
  <c r="C34" i="10"/>
  <c r="C77" i="8"/>
  <c r="C35" i="8"/>
  <c r="C76" i="28"/>
  <c r="A37" i="21"/>
  <c r="E28" i="21"/>
  <c r="G71" i="13" s="1"/>
  <c r="C28" i="21"/>
  <c r="C27" i="21"/>
  <c r="C26" i="21"/>
  <c r="C25" i="21"/>
  <c r="C24" i="21"/>
  <c r="C23" i="21"/>
  <c r="C22" i="21"/>
  <c r="C21" i="21"/>
  <c r="C20" i="21"/>
  <c r="C19" i="21"/>
  <c r="C18" i="21"/>
  <c r="B18" i="36"/>
  <c r="B17" i="36"/>
  <c r="B16" i="36"/>
  <c r="B15" i="36"/>
  <c r="B14" i="36"/>
  <c r="B13" i="36"/>
  <c r="B12" i="36"/>
  <c r="B11" i="36"/>
  <c r="B10" i="36"/>
  <c r="B9" i="36"/>
  <c r="D55" i="21"/>
  <c r="D54" i="21"/>
  <c r="D53" i="21"/>
  <c r="D52" i="21"/>
  <c r="B55" i="21"/>
  <c r="B54" i="21"/>
  <c r="B53" i="21"/>
  <c r="B52" i="21"/>
  <c r="B47" i="21"/>
  <c r="B49" i="21"/>
  <c r="D49" i="21"/>
  <c r="E27" i="48" s="1"/>
  <c r="F49" i="21"/>
  <c r="A28" i="21"/>
  <c r="A27" i="21"/>
  <c r="A26" i="21"/>
  <c r="A25" i="21"/>
  <c r="A24" i="21"/>
  <c r="A23" i="21"/>
  <c r="A22" i="21"/>
  <c r="A21" i="21"/>
  <c r="A20" i="21"/>
  <c r="A19" i="21"/>
  <c r="G22" i="3"/>
  <c r="G32" i="3"/>
  <c r="C19" i="5"/>
  <c r="C18" i="5"/>
  <c r="C17" i="5"/>
  <c r="C16" i="5"/>
  <c r="C15" i="5"/>
  <c r="C14" i="5"/>
  <c r="C13" i="5"/>
  <c r="C12" i="5"/>
  <c r="C11" i="5"/>
  <c r="C10" i="5"/>
  <c r="B19" i="5"/>
  <c r="B18" i="5"/>
  <c r="B17" i="5"/>
  <c r="B16" i="5"/>
  <c r="B15" i="5"/>
  <c r="B14" i="5"/>
  <c r="B13" i="5"/>
  <c r="B12" i="5"/>
  <c r="B11" i="5"/>
  <c r="B10" i="5"/>
  <c r="D30" i="3"/>
  <c r="D32" i="3"/>
  <c r="D26" i="3"/>
  <c r="D28" i="3"/>
  <c r="D24" i="3"/>
  <c r="D22" i="3"/>
  <c r="C32" i="3"/>
  <c r="C31" i="3"/>
  <c r="C30" i="3"/>
  <c r="C29" i="3"/>
  <c r="C28" i="3"/>
  <c r="C27" i="3"/>
  <c r="C26" i="3"/>
  <c r="C25" i="3"/>
  <c r="C24" i="3"/>
  <c r="C23" i="3"/>
  <c r="B32" i="3"/>
  <c r="B31" i="3"/>
  <c r="B30" i="3"/>
  <c r="B29" i="3"/>
  <c r="B28" i="3"/>
  <c r="B27" i="3"/>
  <c r="B26" i="3"/>
  <c r="B25" i="3"/>
  <c r="B24" i="3"/>
  <c r="B23" i="3"/>
  <c r="A78" i="29"/>
  <c r="A77" i="29"/>
  <c r="A76" i="29"/>
  <c r="A75" i="29"/>
  <c r="A74" i="29"/>
  <c r="A73" i="29"/>
  <c r="A72" i="29"/>
  <c r="A71" i="29"/>
  <c r="A70" i="29"/>
  <c r="A69" i="29"/>
  <c r="A36" i="29"/>
  <c r="A35" i="29"/>
  <c r="A34" i="29"/>
  <c r="A33" i="29"/>
  <c r="A32" i="29"/>
  <c r="A31" i="29"/>
  <c r="A30" i="29"/>
  <c r="A29" i="29"/>
  <c r="A28" i="29"/>
  <c r="A27" i="29"/>
  <c r="B78" i="2"/>
  <c r="B77" i="2"/>
  <c r="B76" i="2"/>
  <c r="B75" i="2"/>
  <c r="B74" i="2"/>
  <c r="B73" i="2"/>
  <c r="B72" i="2"/>
  <c r="B71" i="2"/>
  <c r="B70" i="2"/>
  <c r="B69" i="2"/>
  <c r="D21" i="3"/>
  <c r="D37" i="29"/>
  <c r="C37" i="28"/>
  <c r="D77" i="8"/>
  <c r="D35" i="8"/>
  <c r="D76" i="10"/>
  <c r="D34" i="10"/>
  <c r="D77" i="11"/>
  <c r="D37" i="11"/>
  <c r="D76" i="12"/>
  <c r="D37" i="12"/>
  <c r="D76" i="13"/>
  <c r="D34" i="13"/>
  <c r="D97" i="13" s="1"/>
  <c r="D39" i="8"/>
  <c r="B5" i="28"/>
  <c r="A25" i="29"/>
  <c r="A24" i="29"/>
  <c r="D79" i="2"/>
  <c r="D109" i="7"/>
  <c r="C109" i="7"/>
  <c r="D113" i="7"/>
  <c r="C59" i="7"/>
  <c r="C60" i="7" s="1"/>
  <c r="C69" i="7" s="1"/>
  <c r="D37" i="28"/>
  <c r="E1" i="28"/>
  <c r="H61" i="28" s="1"/>
  <c r="B1" i="28"/>
  <c r="D74" i="28"/>
  <c r="C74" i="28"/>
  <c r="C62" i="28"/>
  <c r="C63" i="28" s="1"/>
  <c r="D35" i="28"/>
  <c r="C35" i="28"/>
  <c r="C23" i="28"/>
  <c r="C22" i="28" s="1"/>
  <c r="A34" i="39"/>
  <c r="A8" i="42"/>
  <c r="A46" i="41"/>
  <c r="A41" i="41"/>
  <c r="A6" i="41"/>
  <c r="A38" i="40"/>
  <c r="A33" i="40"/>
  <c r="A19" i="40"/>
  <c r="A6" i="40"/>
  <c r="A33" i="39"/>
  <c r="A6" i="39"/>
  <c r="A77" i="38"/>
  <c r="A74" i="38"/>
  <c r="A33" i="38"/>
  <c r="A28" i="38"/>
  <c r="A25" i="38"/>
  <c r="A16" i="38"/>
  <c r="A6" i="38"/>
  <c r="D22" i="36"/>
  <c r="D24" i="36" s="1"/>
  <c r="E33" i="2"/>
  <c r="D47" i="57" s="1"/>
  <c r="A82" i="2"/>
  <c r="A81" i="2"/>
  <c r="D64" i="2"/>
  <c r="C8" i="5"/>
  <c r="C7" i="5"/>
  <c r="C21" i="8"/>
  <c r="C20" i="8" s="1"/>
  <c r="F1" i="36"/>
  <c r="E5" i="36" s="1"/>
  <c r="A65" i="2"/>
  <c r="D45" i="9"/>
  <c r="E76" i="7" s="1"/>
  <c r="C45" i="9"/>
  <c r="D76" i="7" s="1"/>
  <c r="D57" i="9"/>
  <c r="E78" i="7" s="1"/>
  <c r="C57" i="9"/>
  <c r="D78" i="7" s="1"/>
  <c r="D51" i="9"/>
  <c r="E77" i="7"/>
  <c r="C51" i="9"/>
  <c r="D77" i="7" s="1"/>
  <c r="D39" i="9"/>
  <c r="E75" i="7" s="1"/>
  <c r="C39" i="9"/>
  <c r="D33" i="9"/>
  <c r="E74" i="7" s="1"/>
  <c r="C33" i="9"/>
  <c r="D74" i="7" s="1"/>
  <c r="C27" i="9"/>
  <c r="D73" i="7" s="1"/>
  <c r="D27" i="9"/>
  <c r="E73" i="7" s="1"/>
  <c r="D21" i="9"/>
  <c r="E72" i="7" s="1"/>
  <c r="C21" i="9"/>
  <c r="D72" i="7" s="1"/>
  <c r="B57" i="9"/>
  <c r="C78" i="7" s="1"/>
  <c r="B51" i="9"/>
  <c r="C77" i="7" s="1"/>
  <c r="B45" i="9"/>
  <c r="C76" i="7" s="1"/>
  <c r="B39" i="9"/>
  <c r="C75" i="7" s="1"/>
  <c r="B33" i="9"/>
  <c r="C74" i="7" s="1"/>
  <c r="B27" i="9"/>
  <c r="C73" i="7" s="1"/>
  <c r="B21" i="9"/>
  <c r="C72" i="7" s="1"/>
  <c r="D15" i="9"/>
  <c r="E71" i="7" s="1"/>
  <c r="C15" i="9"/>
  <c r="B15" i="9"/>
  <c r="B78" i="7"/>
  <c r="B77" i="7"/>
  <c r="B76" i="7"/>
  <c r="B75" i="7"/>
  <c r="B74" i="7"/>
  <c r="B73" i="7"/>
  <c r="B72" i="7"/>
  <c r="B71" i="7"/>
  <c r="C74" i="13"/>
  <c r="C62" i="13"/>
  <c r="C61" i="13" s="1"/>
  <c r="D74" i="13"/>
  <c r="C32" i="13"/>
  <c r="B27" i="57" s="1"/>
  <c r="B27" i="21"/>
  <c r="D32" i="13"/>
  <c r="C74" i="12"/>
  <c r="C62" i="12"/>
  <c r="C61" i="12" s="1"/>
  <c r="D74" i="12"/>
  <c r="D26" i="57" s="1"/>
  <c r="D26" i="21"/>
  <c r="C35" i="12"/>
  <c r="C23" i="12"/>
  <c r="C22" i="12" s="1"/>
  <c r="C24" i="12"/>
  <c r="C36" i="12" s="1"/>
  <c r="D6" i="12" s="1"/>
  <c r="D24" i="12" s="1"/>
  <c r="D36" i="12" s="1"/>
  <c r="D35" i="12"/>
  <c r="C75" i="11"/>
  <c r="C63" i="11"/>
  <c r="C64" i="11" s="1"/>
  <c r="D75" i="11"/>
  <c r="C35" i="11"/>
  <c r="B23" i="57" s="1"/>
  <c r="C23" i="11"/>
  <c r="C22" i="11" s="1"/>
  <c r="D35" i="11"/>
  <c r="C74" i="10"/>
  <c r="C62" i="10"/>
  <c r="C63" i="10" s="1"/>
  <c r="C61" i="10"/>
  <c r="D74" i="10"/>
  <c r="C32" i="10"/>
  <c r="C20" i="10"/>
  <c r="C21" i="10" s="1"/>
  <c r="C33" i="10" s="1"/>
  <c r="D32" i="10"/>
  <c r="D97" i="10"/>
  <c r="C33" i="8"/>
  <c r="B19" i="57" s="1"/>
  <c r="D33" i="8"/>
  <c r="C75" i="8"/>
  <c r="C63" i="8"/>
  <c r="C64" i="8" s="1"/>
  <c r="D75" i="8"/>
  <c r="E1" i="7"/>
  <c r="E1" i="8"/>
  <c r="E1" i="10"/>
  <c r="H62" i="10" s="1"/>
  <c r="E1" i="11"/>
  <c r="E1" i="12"/>
  <c r="E1" i="13"/>
  <c r="C81" i="13" s="1"/>
  <c r="C57" i="17"/>
  <c r="B36" i="57" s="1"/>
  <c r="D57" i="17"/>
  <c r="D36" i="57" s="1"/>
  <c r="E57" i="17"/>
  <c r="F36" i="57" s="1"/>
  <c r="F36" i="21"/>
  <c r="C44" i="31"/>
  <c r="B37" i="57" s="1"/>
  <c r="D44" i="31"/>
  <c r="D37" i="57" s="1"/>
  <c r="D37" i="21"/>
  <c r="E44" i="31"/>
  <c r="F37" i="57" s="1"/>
  <c r="C59" i="17"/>
  <c r="C60" i="17"/>
  <c r="D59" i="17"/>
  <c r="D60" i="17" s="1"/>
  <c r="D46" i="31"/>
  <c r="D47" i="31" s="1"/>
  <c r="C46" i="31"/>
  <c r="C47" i="31" s="1"/>
  <c r="C25" i="14"/>
  <c r="B29" i="57" s="1"/>
  <c r="C15" i="14"/>
  <c r="C16" i="14" s="1"/>
  <c r="D25" i="14"/>
  <c r="D29" i="57" s="1"/>
  <c r="E25" i="14"/>
  <c r="F29" i="57" s="1"/>
  <c r="C27" i="14"/>
  <c r="D27" i="14"/>
  <c r="C56" i="14"/>
  <c r="B30" i="57" s="1"/>
  <c r="D56" i="14"/>
  <c r="D30" i="57" s="1"/>
  <c r="E56" i="14"/>
  <c r="F30" i="57" s="1"/>
  <c r="C58" i="14"/>
  <c r="D58" i="14"/>
  <c r="C32" i="15"/>
  <c r="B31" i="57" s="1"/>
  <c r="D32" i="15"/>
  <c r="D31" i="15" s="1"/>
  <c r="E32" i="15"/>
  <c r="F31" i="57" s="1"/>
  <c r="C34" i="15"/>
  <c r="D34" i="15"/>
  <c r="E1" i="14"/>
  <c r="C5" i="14" s="1"/>
  <c r="C33" i="14"/>
  <c r="E1" i="15"/>
  <c r="E5" i="15" s="1"/>
  <c r="E40" i="15" s="1"/>
  <c r="C69" i="15"/>
  <c r="B32" i="57" s="1"/>
  <c r="D69" i="15"/>
  <c r="D32" i="57" s="1"/>
  <c r="E69" i="15"/>
  <c r="F32" i="57" s="1"/>
  <c r="C71" i="15"/>
  <c r="D71" i="15"/>
  <c r="C26" i="16"/>
  <c r="B33" i="57" s="1"/>
  <c r="D26" i="16"/>
  <c r="D33" i="57" s="1"/>
  <c r="E26" i="16"/>
  <c r="F33" i="57" s="1"/>
  <c r="C28" i="16"/>
  <c r="D28" i="16"/>
  <c r="E1" i="16"/>
  <c r="E57" i="16"/>
  <c r="E59" i="16"/>
  <c r="C57" i="16"/>
  <c r="B34" i="57" s="1"/>
  <c r="D57" i="16"/>
  <c r="D34" i="57" s="1"/>
  <c r="C59" i="16"/>
  <c r="D59" i="16"/>
  <c r="D60" i="16" s="1"/>
  <c r="D28" i="17"/>
  <c r="C28" i="17"/>
  <c r="C26" i="17"/>
  <c r="B35" i="57" s="1"/>
  <c r="D26" i="17"/>
  <c r="D35" i="57" s="1"/>
  <c r="E26" i="17"/>
  <c r="F35" i="57" s="1"/>
  <c r="E1" i="17"/>
  <c r="E5" i="17" s="1"/>
  <c r="E34" i="17" s="1"/>
  <c r="B54" i="17"/>
  <c r="E1" i="31"/>
  <c r="B46" i="31" s="1"/>
  <c r="E44" i="32"/>
  <c r="C44" i="32"/>
  <c r="B38" i="57" s="1"/>
  <c r="C43" i="32"/>
  <c r="D44" i="32"/>
  <c r="D38" i="57" s="1"/>
  <c r="C46" i="32"/>
  <c r="C47" i="32"/>
  <c r="D46" i="32"/>
  <c r="E1" i="32"/>
  <c r="B41" i="32" s="1"/>
  <c r="C45" i="33"/>
  <c r="B39" i="57" s="1"/>
  <c r="B39" i="21"/>
  <c r="D45" i="33"/>
  <c r="D39" i="57" s="1"/>
  <c r="E45" i="33"/>
  <c r="F39" i="57" s="1"/>
  <c r="C47" i="33"/>
  <c r="C48" i="33" s="1"/>
  <c r="D47" i="33"/>
  <c r="E1" i="33"/>
  <c r="B47" i="33" s="1"/>
  <c r="B42" i="33"/>
  <c r="E19" i="34"/>
  <c r="E18" i="34" s="1"/>
  <c r="C44" i="34"/>
  <c r="B40" i="57" s="1"/>
  <c r="D44" i="34"/>
  <c r="D40" i="57" s="1"/>
  <c r="E44" i="34"/>
  <c r="E1" i="34"/>
  <c r="D46" i="34"/>
  <c r="C46" i="34"/>
  <c r="B67" i="2"/>
  <c r="A50" i="2"/>
  <c r="D17" i="2"/>
  <c r="J28" i="35"/>
  <c r="H28" i="35"/>
  <c r="F28" i="35"/>
  <c r="D28" i="35"/>
  <c r="D17" i="35"/>
  <c r="D18" i="35" s="1"/>
  <c r="B28" i="35"/>
  <c r="B17" i="35"/>
  <c r="B18" i="35" s="1"/>
  <c r="K18" i="35" s="1"/>
  <c r="J28" i="30"/>
  <c r="J17" i="30"/>
  <c r="J18" i="30" s="1"/>
  <c r="H28" i="30"/>
  <c r="H17" i="30"/>
  <c r="H18" i="30"/>
  <c r="H29" i="30" s="1"/>
  <c r="H30" i="30" s="1"/>
  <c r="F28" i="30"/>
  <c r="F17" i="30"/>
  <c r="F18" i="30" s="1"/>
  <c r="D28" i="30"/>
  <c r="D17" i="30"/>
  <c r="D18" i="30" s="1"/>
  <c r="B28" i="30"/>
  <c r="B17" i="30"/>
  <c r="E17" i="2"/>
  <c r="G21" i="2" s="1"/>
  <c r="K1" i="35"/>
  <c r="F2" i="35" s="1"/>
  <c r="K1" i="30"/>
  <c r="F2" i="30" s="1"/>
  <c r="E1" i="29"/>
  <c r="A8" i="29" s="1"/>
  <c r="D22" i="5"/>
  <c r="E23" i="5"/>
  <c r="F24" i="5"/>
  <c r="E16" i="7"/>
  <c r="E17" i="7"/>
  <c r="E18" i="7"/>
  <c r="D7" i="36"/>
  <c r="E35" i="28"/>
  <c r="D8" i="36"/>
  <c r="E74" i="28"/>
  <c r="C16" i="21"/>
  <c r="C17" i="21"/>
  <c r="B7" i="36"/>
  <c r="D26" i="36"/>
  <c r="D28" i="36" s="1"/>
  <c r="A1" i="36"/>
  <c r="E44" i="17"/>
  <c r="E43" i="17"/>
  <c r="D44" i="17"/>
  <c r="D43" i="17" s="1"/>
  <c r="C44" i="17"/>
  <c r="E44" i="16"/>
  <c r="E43" i="16"/>
  <c r="D44" i="16"/>
  <c r="D43" i="16" s="1"/>
  <c r="C44" i="16"/>
  <c r="E8" i="14"/>
  <c r="E9" i="14"/>
  <c r="D8" i="14"/>
  <c r="D9" i="14"/>
  <c r="D19" i="34"/>
  <c r="D18" i="34"/>
  <c r="C19" i="34"/>
  <c r="C18" i="34" s="1"/>
  <c r="E19" i="33"/>
  <c r="E18" i="33" s="1"/>
  <c r="D19" i="33"/>
  <c r="D18" i="33" s="1"/>
  <c r="C19" i="33"/>
  <c r="C18" i="33" s="1"/>
  <c r="E19" i="32"/>
  <c r="E18" i="32" s="1"/>
  <c r="D19" i="32"/>
  <c r="D18" i="32"/>
  <c r="C19" i="32"/>
  <c r="C20" i="32" s="1"/>
  <c r="C45" i="32" s="1"/>
  <c r="E19" i="31"/>
  <c r="E18" i="31" s="1"/>
  <c r="D19" i="31"/>
  <c r="D18" i="31"/>
  <c r="C19" i="31"/>
  <c r="E15" i="17"/>
  <c r="E14" i="17" s="1"/>
  <c r="D15" i="17"/>
  <c r="D14" i="17" s="1"/>
  <c r="C15" i="17"/>
  <c r="C16" i="17" s="1"/>
  <c r="E15" i="16"/>
  <c r="E14" i="16" s="1"/>
  <c r="D15" i="16"/>
  <c r="D14" i="16" s="1"/>
  <c r="C15" i="16"/>
  <c r="C16" i="16" s="1"/>
  <c r="E19" i="15"/>
  <c r="E18" i="15" s="1"/>
  <c r="D19" i="15"/>
  <c r="D18" i="15" s="1"/>
  <c r="C19" i="15"/>
  <c r="C20" i="15" s="1"/>
  <c r="C33" i="15" s="1"/>
  <c r="E54" i="15"/>
  <c r="E53" i="15" s="1"/>
  <c r="D54" i="15"/>
  <c r="D53" i="15" s="1"/>
  <c r="C54" i="15"/>
  <c r="E43" i="14"/>
  <c r="E42" i="14"/>
  <c r="D43" i="14"/>
  <c r="D42" i="14" s="1"/>
  <c r="C43" i="14"/>
  <c r="C42" i="14"/>
  <c r="A90" i="29"/>
  <c r="A89" i="29"/>
  <c r="A88" i="29"/>
  <c r="A87" i="29"/>
  <c r="A86" i="29"/>
  <c r="A85" i="29"/>
  <c r="A84" i="29"/>
  <c r="A83" i="29"/>
  <c r="A82" i="29"/>
  <c r="A81" i="29"/>
  <c r="A80" i="29"/>
  <c r="A79" i="29"/>
  <c r="A67" i="29"/>
  <c r="A66" i="29"/>
  <c r="C5" i="35"/>
  <c r="E5" i="35"/>
  <c r="G5" i="35"/>
  <c r="I5" i="35"/>
  <c r="A5" i="35"/>
  <c r="C5" i="30"/>
  <c r="E5" i="30"/>
  <c r="G5" i="30"/>
  <c r="I5" i="30"/>
  <c r="A5" i="30"/>
  <c r="B40" i="3"/>
  <c r="D40" i="3"/>
  <c r="E16" i="21"/>
  <c r="G103" i="7" s="1"/>
  <c r="E17" i="21"/>
  <c r="G30" i="28" s="1"/>
  <c r="E18" i="21"/>
  <c r="E19" i="21"/>
  <c r="G31" i="8" s="1"/>
  <c r="E20" i="21"/>
  <c r="G73" i="8" s="1"/>
  <c r="E21" i="21"/>
  <c r="G29" i="10" s="1"/>
  <c r="E22" i="21"/>
  <c r="E23" i="21"/>
  <c r="E24" i="21"/>
  <c r="G72" i="11" s="1"/>
  <c r="E25" i="21"/>
  <c r="G31" i="12" s="1"/>
  <c r="E26" i="21"/>
  <c r="G73" i="12" s="1"/>
  <c r="E27" i="21"/>
  <c r="G29" i="13" s="1"/>
  <c r="G1" i="3"/>
  <c r="C64" i="3" s="1"/>
  <c r="B46" i="3"/>
  <c r="B45" i="3"/>
  <c r="A42" i="21"/>
  <c r="A41" i="21"/>
  <c r="M1" i="22"/>
  <c r="D84" i="2"/>
  <c r="E84" i="2"/>
  <c r="A15" i="2"/>
  <c r="G42" i="22"/>
  <c r="G32" i="22"/>
  <c r="F53" i="57" s="1"/>
  <c r="G20" i="22"/>
  <c r="F52" i="57" s="1"/>
  <c r="B1" i="22"/>
  <c r="A1" i="30"/>
  <c r="A1" i="35"/>
  <c r="A33" i="2"/>
  <c r="E26" i="27"/>
  <c r="E28" i="27" s="1"/>
  <c r="D26" i="27"/>
  <c r="D28" i="27" s="1"/>
  <c r="C26" i="27"/>
  <c r="C28" i="27" s="1"/>
  <c r="D30" i="21"/>
  <c r="B30" i="21"/>
  <c r="A40" i="21"/>
  <c r="A39" i="21"/>
  <c r="A38" i="21"/>
  <c r="A36" i="21"/>
  <c r="A35" i="21"/>
  <c r="A34" i="21"/>
  <c r="A33" i="21"/>
  <c r="A32" i="21"/>
  <c r="A31" i="21"/>
  <c r="A30" i="21"/>
  <c r="A29" i="21"/>
  <c r="A17" i="21"/>
  <c r="A16" i="21"/>
  <c r="E39" i="15"/>
  <c r="D39" i="15"/>
  <c r="C39" i="15"/>
  <c r="B40" i="15"/>
  <c r="B5" i="15"/>
  <c r="E32" i="14"/>
  <c r="D32" i="14"/>
  <c r="C32" i="14"/>
  <c r="B33" i="14"/>
  <c r="B5" i="14"/>
  <c r="B44" i="13"/>
  <c r="B5" i="13"/>
  <c r="B47" i="12"/>
  <c r="B5" i="12"/>
  <c r="B47" i="11"/>
  <c r="B5" i="11"/>
  <c r="B44" i="10"/>
  <c r="B5" i="10"/>
  <c r="B45" i="8"/>
  <c r="B5" i="8"/>
  <c r="D1" i="9"/>
  <c r="B5" i="9" s="1"/>
  <c r="B6" i="7"/>
  <c r="B68" i="7"/>
  <c r="B5" i="16"/>
  <c r="B34" i="16"/>
  <c r="B5" i="17"/>
  <c r="B34" i="17"/>
  <c r="B1" i="32"/>
  <c r="B1" i="33"/>
  <c r="B1" i="34"/>
  <c r="B5" i="34"/>
  <c r="B5" i="33"/>
  <c r="B5" i="32"/>
  <c r="B5" i="31"/>
  <c r="B1" i="31"/>
  <c r="D44" i="3"/>
  <c r="D43" i="3"/>
  <c r="D42" i="3"/>
  <c r="D41" i="3"/>
  <c r="D46" i="3"/>
  <c r="D45" i="3"/>
  <c r="B44" i="3"/>
  <c r="B43" i="3"/>
  <c r="B42" i="3"/>
  <c r="B41" i="3"/>
  <c r="B39" i="3"/>
  <c r="B38" i="3"/>
  <c r="B37" i="3"/>
  <c r="B36" i="3"/>
  <c r="B35" i="3"/>
  <c r="B34" i="3"/>
  <c r="B33" i="3"/>
  <c r="C21" i="3"/>
  <c r="B21" i="3"/>
  <c r="C20" i="3"/>
  <c r="B20" i="3"/>
  <c r="B3" i="3"/>
  <c r="H1" i="21"/>
  <c r="A1" i="29"/>
  <c r="B8" i="5"/>
  <c r="B7" i="5"/>
  <c r="B1" i="5"/>
  <c r="A1" i="27"/>
  <c r="F1" i="27"/>
  <c r="D7" i="27" s="1"/>
  <c r="M20" i="22"/>
  <c r="M32" i="22"/>
  <c r="M43" i="22" s="1"/>
  <c r="M42" i="22"/>
  <c r="L20" i="22"/>
  <c r="L32" i="22"/>
  <c r="L42" i="22"/>
  <c r="K20" i="22"/>
  <c r="K32" i="22"/>
  <c r="K42" i="22"/>
  <c r="J20" i="22"/>
  <c r="J32" i="22"/>
  <c r="J42" i="22"/>
  <c r="I1" i="23"/>
  <c r="G9" i="23" s="1"/>
  <c r="K7" i="35"/>
  <c r="F17" i="35"/>
  <c r="F18" i="35" s="1"/>
  <c r="F29" i="35" s="1"/>
  <c r="F30" i="35" s="1"/>
  <c r="H17" i="35"/>
  <c r="H18" i="35" s="1"/>
  <c r="H29" i="35" s="1"/>
  <c r="H30" i="35" s="1"/>
  <c r="J17" i="35"/>
  <c r="J18" i="35" s="1"/>
  <c r="J29" i="35" s="1"/>
  <c r="J30" i="35" s="1"/>
  <c r="K7" i="30"/>
  <c r="B66" i="2"/>
  <c r="D65" i="2"/>
  <c r="D39" i="3"/>
  <c r="D38" i="3"/>
  <c r="D37" i="3"/>
  <c r="D36" i="3"/>
  <c r="D35" i="3"/>
  <c r="D34" i="3"/>
  <c r="D33" i="3"/>
  <c r="D31" i="3"/>
  <c r="D29" i="3"/>
  <c r="D27" i="3"/>
  <c r="D25" i="3"/>
  <c r="D23" i="3"/>
  <c r="B5" i="3"/>
  <c r="A1" i="9"/>
  <c r="B64" i="7"/>
  <c r="B1" i="7"/>
  <c r="B1" i="23"/>
  <c r="I28" i="23"/>
  <c r="H28" i="23"/>
  <c r="G28" i="23"/>
  <c r="F55" i="57" s="1"/>
  <c r="F55" i="21"/>
  <c r="B1" i="12"/>
  <c r="B1" i="13"/>
  <c r="B1" i="15"/>
  <c r="B1" i="16"/>
  <c r="B1" i="17"/>
  <c r="B1" i="8"/>
  <c r="B1" i="10"/>
  <c r="B1" i="11"/>
  <c r="B1" i="14"/>
  <c r="A5" i="21"/>
  <c r="E38" i="3"/>
  <c r="F34" i="21"/>
  <c r="D36" i="21"/>
  <c r="D56" i="17"/>
  <c r="C44" i="14"/>
  <c r="C57" i="14" s="1"/>
  <c r="C61" i="14" s="1"/>
  <c r="E42" i="3"/>
  <c r="F38" i="21"/>
  <c r="G27" i="3"/>
  <c r="G31" i="3"/>
  <c r="G23" i="3"/>
  <c r="G28" i="3"/>
  <c r="G24" i="3"/>
  <c r="G29" i="3"/>
  <c r="G25" i="3"/>
  <c r="G26" i="3"/>
  <c r="G30" i="3"/>
  <c r="G21" i="3"/>
  <c r="G20" i="3"/>
  <c r="C43" i="31"/>
  <c r="E43" i="31"/>
  <c r="J55" i="28"/>
  <c r="J56" i="28"/>
  <c r="C19" i="36"/>
  <c r="D9" i="36"/>
  <c r="D11" i="36"/>
  <c r="E32" i="10"/>
  <c r="D13" i="36"/>
  <c r="D15" i="36"/>
  <c r="E35" i="12"/>
  <c r="D17" i="36"/>
  <c r="D6" i="36"/>
  <c r="D16" i="36"/>
  <c r="D10" i="36"/>
  <c r="E75" i="8"/>
  <c r="D12" i="36"/>
  <c r="D18" i="36"/>
  <c r="D14" i="36"/>
  <c r="E75" i="11"/>
  <c r="E33" i="8"/>
  <c r="E74" i="12"/>
  <c r="E30" i="3" s="1"/>
  <c r="E74" i="13"/>
  <c r="E76" i="13" s="1"/>
  <c r="E32" i="13"/>
  <c r="E35" i="11"/>
  <c r="E74" i="10"/>
  <c r="F22" i="57" s="1"/>
  <c r="J57" i="8"/>
  <c r="J58" i="8"/>
  <c r="J55" i="13"/>
  <c r="J56" i="13"/>
  <c r="J56" i="11"/>
  <c r="J57" i="11"/>
  <c r="M55" i="21"/>
  <c r="J87" i="7"/>
  <c r="J88" i="7"/>
  <c r="J86" i="7"/>
  <c r="J55" i="10"/>
  <c r="J56" i="10"/>
  <c r="J57" i="12"/>
  <c r="J58" i="12"/>
  <c r="J13" i="13"/>
  <c r="J14" i="13"/>
  <c r="C18" i="32"/>
  <c r="D31" i="21"/>
  <c r="B37" i="21"/>
  <c r="F37" i="21"/>
  <c r="E5" i="32"/>
  <c r="C5" i="32"/>
  <c r="D19" i="5"/>
  <c r="E49" i="13" s="1"/>
  <c r="H12" i="5"/>
  <c r="E14" i="10" s="1"/>
  <c r="H15" i="5"/>
  <c r="E56" i="11" s="1"/>
  <c r="H10" i="5"/>
  <c r="E14" i="8" s="1"/>
  <c r="H16" i="5"/>
  <c r="E14" i="12" s="1"/>
  <c r="H14" i="5"/>
  <c r="E14" i="11" s="1"/>
  <c r="D17" i="5"/>
  <c r="E52" i="12" s="1"/>
  <c r="D16" i="5"/>
  <c r="E10" i="12" s="1"/>
  <c r="H33" i="5"/>
  <c r="H8" i="5"/>
  <c r="E14" i="28" s="1"/>
  <c r="H19" i="5"/>
  <c r="E53" i="13" s="1"/>
  <c r="D14" i="5"/>
  <c r="E10" i="11" s="1"/>
  <c r="E11" i="5"/>
  <c r="E51" i="8" s="1"/>
  <c r="E19" i="5"/>
  <c r="E50" i="13" s="1"/>
  <c r="E16" i="5"/>
  <c r="E11" i="12" s="1"/>
  <c r="E17" i="5"/>
  <c r="E53" i="12" s="1"/>
  <c r="E12" i="5"/>
  <c r="E11" i="10" s="1"/>
  <c r="E13" i="5"/>
  <c r="E50" i="10" s="1"/>
  <c r="E18" i="5"/>
  <c r="E11" i="13" s="1"/>
  <c r="E10" i="5"/>
  <c r="E11" i="8" s="1"/>
  <c r="E15" i="5"/>
  <c r="E53" i="11" s="1"/>
  <c r="E14" i="5"/>
  <c r="E11" i="11" s="1"/>
  <c r="D10" i="5"/>
  <c r="E10" i="8" s="1"/>
  <c r="D11" i="5"/>
  <c r="E50" i="8" s="1"/>
  <c r="H18" i="5"/>
  <c r="E14" i="13" s="1"/>
  <c r="H13" i="5"/>
  <c r="E53" i="10" s="1"/>
  <c r="H11" i="5"/>
  <c r="E54" i="8" s="1"/>
  <c r="F8" i="5"/>
  <c r="E12" i="28" s="1"/>
  <c r="D15" i="5"/>
  <c r="E52" i="11" s="1"/>
  <c r="D18" i="5"/>
  <c r="E10" i="13" s="1"/>
  <c r="H17" i="5"/>
  <c r="E56" i="12" s="1"/>
  <c r="D13" i="5"/>
  <c r="E49" i="10" s="1"/>
  <c r="D12" i="5"/>
  <c r="E10" i="10" s="1"/>
  <c r="F16" i="5"/>
  <c r="E12" i="12" s="1"/>
  <c r="F13" i="5"/>
  <c r="E51" i="10" s="1"/>
  <c r="F11" i="5"/>
  <c r="E52" i="8" s="1"/>
  <c r="F14" i="5"/>
  <c r="E12" i="11" s="1"/>
  <c r="F19" i="5"/>
  <c r="E51" i="13" s="1"/>
  <c r="F18" i="5"/>
  <c r="E12" i="13" s="1"/>
  <c r="F17" i="5"/>
  <c r="E54" i="12" s="1"/>
  <c r="F12" i="5"/>
  <c r="F15" i="5"/>
  <c r="E54" i="11" s="1"/>
  <c r="F10" i="5"/>
  <c r="E12" i="8" s="1"/>
  <c r="G19" i="5"/>
  <c r="E52" i="13" s="1"/>
  <c r="G16" i="5"/>
  <c r="E13" i="12" s="1"/>
  <c r="G13" i="5"/>
  <c r="E52" i="10" s="1"/>
  <c r="G11" i="5"/>
  <c r="E53" i="8" s="1"/>
  <c r="G15" i="5"/>
  <c r="E55" i="11" s="1"/>
  <c r="G12" i="5"/>
  <c r="E13" i="10" s="1"/>
  <c r="G18" i="5"/>
  <c r="E13" i="13" s="1"/>
  <c r="G17" i="5"/>
  <c r="E55" i="12" s="1"/>
  <c r="G10" i="5"/>
  <c r="E13" i="8" s="1"/>
  <c r="G14" i="5"/>
  <c r="E13" i="11" s="1"/>
  <c r="C62" i="8"/>
  <c r="C63" i="12"/>
  <c r="C75" i="12" s="1"/>
  <c r="D48" i="12" s="1"/>
  <c r="D63" i="12" s="1"/>
  <c r="D75" i="12" s="1"/>
  <c r="E48" i="12" s="1"/>
  <c r="D74" i="11"/>
  <c r="C34" i="28"/>
  <c r="E73" i="12"/>
  <c r="C20" i="34"/>
  <c r="C45" i="34" s="1"/>
  <c r="C49" i="34" s="1"/>
  <c r="E47" i="33"/>
  <c r="D43" i="31"/>
  <c r="D29" i="16"/>
  <c r="E37" i="3"/>
  <c r="E25" i="16"/>
  <c r="C14" i="16"/>
  <c r="E34" i="13"/>
  <c r="E28" i="3"/>
  <c r="E79" i="11"/>
  <c r="F80" i="11"/>
  <c r="E74" i="11"/>
  <c r="E77" i="11"/>
  <c r="D73" i="10"/>
  <c r="C19" i="10"/>
  <c r="E73" i="28"/>
  <c r="E46" i="34"/>
  <c r="E44" i="3"/>
  <c r="E43" i="34"/>
  <c r="F53" i="21"/>
  <c r="C43" i="16"/>
  <c r="C45" i="16"/>
  <c r="C58" i="16" s="1"/>
  <c r="B36" i="21"/>
  <c r="C14" i="17"/>
  <c r="E43" i="32"/>
  <c r="D71" i="7"/>
  <c r="D20" i="3"/>
  <c r="B47" i="48"/>
  <c r="B59" i="16"/>
  <c r="B28" i="16"/>
  <c r="C5" i="16"/>
  <c r="C34" i="16" s="1"/>
  <c r="D5" i="16"/>
  <c r="D34" i="16" s="1"/>
  <c r="E5" i="16"/>
  <c r="E34" i="16" s="1"/>
  <c r="B54" i="16"/>
  <c r="D62" i="28"/>
  <c r="D61" i="28" s="1"/>
  <c r="C5" i="31"/>
  <c r="B41" i="31"/>
  <c r="E5" i="31"/>
  <c r="D5" i="31"/>
  <c r="H25" i="28"/>
  <c r="B23" i="16"/>
  <c r="B46" i="48"/>
  <c r="B78" i="48"/>
  <c r="B84" i="48"/>
  <c r="B91" i="48"/>
  <c r="L6" i="22"/>
  <c r="E8" i="5"/>
  <c r="H9" i="5"/>
  <c r="E56" i="28" s="1"/>
  <c r="C5" i="9"/>
  <c r="C5" i="17"/>
  <c r="C34" i="17" s="1"/>
  <c r="E5" i="14"/>
  <c r="E33" i="14"/>
  <c r="F9" i="5"/>
  <c r="E54" i="28" s="1"/>
  <c r="G19" i="48" s="1"/>
  <c r="D8" i="5"/>
  <c r="E10" i="28" s="1"/>
  <c r="E9" i="5"/>
  <c r="B41" i="34"/>
  <c r="G9" i="5"/>
  <c r="E55" i="28" s="1"/>
  <c r="G8" i="5"/>
  <c r="E13" i="28" s="1"/>
  <c r="H7" i="5"/>
  <c r="E11" i="28"/>
  <c r="D5" i="34"/>
  <c r="D9" i="5"/>
  <c r="E52" i="28" s="1"/>
  <c r="G17" i="48" s="1"/>
  <c r="G60" i="12"/>
  <c r="B71" i="12"/>
  <c r="B76" i="12"/>
  <c r="G53" i="12"/>
  <c r="G57" i="12"/>
  <c r="H21" i="12"/>
  <c r="H22" i="12"/>
  <c r="H26" i="12"/>
  <c r="G18" i="12"/>
  <c r="C81" i="12"/>
  <c r="B37" i="12"/>
  <c r="C42" i="12"/>
  <c r="D5" i="12"/>
  <c r="D47" i="12" s="1"/>
  <c r="H20" i="12"/>
  <c r="H62" i="12"/>
  <c r="H63" i="12"/>
  <c r="E25" i="17"/>
  <c r="F35" i="21"/>
  <c r="E39" i="3"/>
  <c r="E28" i="17"/>
  <c r="F54" i="21"/>
  <c r="D56" i="16"/>
  <c r="D34" i="21"/>
  <c r="B32" i="12"/>
  <c r="E5" i="12"/>
  <c r="E47" i="12" s="1"/>
  <c r="C5" i="36"/>
  <c r="B5" i="36"/>
  <c r="C18" i="31"/>
  <c r="C20" i="31"/>
  <c r="C45" i="31" s="1"/>
  <c r="A39" i="29"/>
  <c r="A14" i="29"/>
  <c r="A51" i="29"/>
  <c r="A9" i="29"/>
  <c r="A57" i="29"/>
  <c r="C45" i="17"/>
  <c r="C58" i="17" s="1"/>
  <c r="C43" i="17"/>
  <c r="C5" i="34"/>
  <c r="E5" i="34"/>
  <c r="B46" i="34"/>
  <c r="C44" i="33"/>
  <c r="B38" i="21"/>
  <c r="D68" i="15"/>
  <c r="C34" i="12"/>
  <c r="C5" i="33"/>
  <c r="D5" i="33"/>
  <c r="F33" i="21"/>
  <c r="E28" i="16"/>
  <c r="E78" i="13"/>
  <c r="E46" i="31"/>
  <c r="D18" i="21"/>
  <c r="A63" i="29"/>
  <c r="A17" i="29"/>
  <c r="D5" i="9"/>
  <c r="E5" i="8"/>
  <c r="E45" i="8" s="1"/>
  <c r="B51" i="21"/>
  <c r="F13" i="21"/>
  <c r="J38" i="21"/>
  <c r="D13" i="21"/>
  <c r="F51" i="21"/>
  <c r="E31" i="3"/>
  <c r="E31" i="13"/>
  <c r="D31" i="13"/>
  <c r="E36" i="13"/>
  <c r="D73" i="13"/>
  <c r="C63" i="13"/>
  <c r="D99" i="13"/>
  <c r="D73" i="12"/>
  <c r="E29" i="3"/>
  <c r="F25" i="21"/>
  <c r="G67" i="12"/>
  <c r="E39" i="12"/>
  <c r="C99" i="11"/>
  <c r="B23" i="21"/>
  <c r="E39" i="11"/>
  <c r="C99" i="10"/>
  <c r="E78" i="10"/>
  <c r="C94" i="28"/>
  <c r="H20" i="28"/>
  <c r="H63" i="28"/>
  <c r="G51" i="28"/>
  <c r="H24" i="28"/>
  <c r="C42" i="28"/>
  <c r="C81" i="28"/>
  <c r="G17" i="28"/>
  <c r="H19" i="28"/>
  <c r="B104" i="7"/>
  <c r="A41" i="29"/>
  <c r="A59" i="29"/>
  <c r="A22" i="29"/>
  <c r="C64" i="29"/>
  <c r="A15" i="29"/>
  <c r="A58" i="29"/>
  <c r="B64" i="29"/>
  <c r="A56" i="29"/>
  <c r="A7" i="29"/>
  <c r="A6" i="29"/>
  <c r="E15" i="7"/>
  <c r="D19" i="10"/>
  <c r="I9" i="23"/>
  <c r="H60" i="13"/>
  <c r="D22" i="28"/>
  <c r="H62" i="13"/>
  <c r="B71" i="13"/>
  <c r="H21" i="13"/>
  <c r="H19" i="13"/>
  <c r="H61" i="13"/>
  <c r="B34" i="13"/>
  <c r="H23" i="13"/>
  <c r="H9" i="23"/>
  <c r="F29" i="30" l="1"/>
  <c r="F30" i="30" s="1"/>
  <c r="D29" i="30"/>
  <c r="D30" i="30" s="1"/>
  <c r="C68" i="15"/>
  <c r="C31" i="15"/>
  <c r="B31" i="21"/>
  <c r="C35" i="15"/>
  <c r="F31" i="21"/>
  <c r="B71" i="15"/>
  <c r="B32" i="21"/>
  <c r="D32" i="21"/>
  <c r="B66" i="15"/>
  <c r="E31" i="15"/>
  <c r="E36" i="3"/>
  <c r="F32" i="21"/>
  <c r="E68" i="15"/>
  <c r="E71" i="15"/>
  <c r="C72" i="15"/>
  <c r="C18" i="15"/>
  <c r="D72" i="15"/>
  <c r="E34" i="3"/>
  <c r="E55" i="14"/>
  <c r="B29" i="21"/>
  <c r="C24" i="14"/>
  <c r="C26" i="14"/>
  <c r="C14" i="14"/>
  <c r="D59" i="9"/>
  <c r="E7" i="5"/>
  <c r="E12" i="7" s="1"/>
  <c r="E80" i="12"/>
  <c r="D47" i="21"/>
  <c r="C58" i="7"/>
  <c r="L43" i="22"/>
  <c r="F52" i="21"/>
  <c r="F56" i="21" s="1"/>
  <c r="D45" i="57"/>
  <c r="D45" i="21"/>
  <c r="G7" i="5"/>
  <c r="F7" i="5"/>
  <c r="E13" i="7" s="1"/>
  <c r="D7" i="5"/>
  <c r="E11" i="7" s="1"/>
  <c r="D6" i="31"/>
  <c r="D20" i="31" s="1"/>
  <c r="D45" i="31" s="1"/>
  <c r="C48" i="31"/>
  <c r="D35" i="16"/>
  <c r="D45" i="16" s="1"/>
  <c r="D58" i="16" s="1"/>
  <c r="E35" i="16" s="1"/>
  <c r="E45" i="16" s="1"/>
  <c r="E58" i="16" s="1"/>
  <c r="E60" i="16" s="1"/>
  <c r="C61" i="16"/>
  <c r="D35" i="17"/>
  <c r="D45" i="17" s="1"/>
  <c r="D58" i="17" s="1"/>
  <c r="C61" i="17"/>
  <c r="E63" i="11"/>
  <c r="G62" i="11" s="1"/>
  <c r="H19" i="10"/>
  <c r="D25" i="17"/>
  <c r="C56" i="16"/>
  <c r="H20" i="5"/>
  <c r="G67" i="8"/>
  <c r="B20" i="57"/>
  <c r="M34" i="21"/>
  <c r="M54" i="21"/>
  <c r="G55" i="13"/>
  <c r="D5" i="13"/>
  <c r="D44" i="13" s="1"/>
  <c r="D5" i="14"/>
  <c r="D33" i="14" s="1"/>
  <c r="D5" i="28"/>
  <c r="D47" i="28" s="1"/>
  <c r="F80" i="10"/>
  <c r="G23" i="13"/>
  <c r="B6" i="5"/>
  <c r="D29" i="17"/>
  <c r="B34" i="21"/>
  <c r="B53" i="14"/>
  <c r="D38" i="21"/>
  <c r="E78" i="12"/>
  <c r="F80" i="13"/>
  <c r="E23" i="11"/>
  <c r="G20" i="11" s="1"/>
  <c r="E24" i="14"/>
  <c r="D39" i="21"/>
  <c r="F38" i="11"/>
  <c r="F23" i="57"/>
  <c r="A10" i="21"/>
  <c r="H1" i="58"/>
  <c r="J54" i="21"/>
  <c r="G14" i="21"/>
  <c r="E29" i="48"/>
  <c r="G71" i="28"/>
  <c r="E43" i="3"/>
  <c r="D35" i="15"/>
  <c r="D31" i="57"/>
  <c r="G11" i="12"/>
  <c r="H33" i="12"/>
  <c r="H30" i="12"/>
  <c r="H34" i="12"/>
  <c r="H31" i="12"/>
  <c r="H76" i="12"/>
  <c r="H73" i="12"/>
  <c r="H75" i="12"/>
  <c r="H72" i="12"/>
  <c r="D32" i="8"/>
  <c r="D19" i="57"/>
  <c r="D34" i="12"/>
  <c r="D25" i="57"/>
  <c r="C73" i="12"/>
  <c r="B26" i="57"/>
  <c r="C59" i="9"/>
  <c r="D97" i="28"/>
  <c r="E36" i="10"/>
  <c r="F21" i="57"/>
  <c r="E34" i="10"/>
  <c r="C39" i="13"/>
  <c r="H31" i="13"/>
  <c r="H28" i="13"/>
  <c r="H29" i="13"/>
  <c r="H74" i="13"/>
  <c r="H73" i="13"/>
  <c r="H71" i="13"/>
  <c r="H70" i="13"/>
  <c r="H32" i="13"/>
  <c r="B24" i="21"/>
  <c r="B24" i="57"/>
  <c r="C5" i="28"/>
  <c r="C47" i="28" s="1"/>
  <c r="H73" i="28"/>
  <c r="H70" i="28"/>
  <c r="H29" i="28"/>
  <c r="H71" i="28"/>
  <c r="H33" i="28"/>
  <c r="H32" i="28"/>
  <c r="H30" i="28"/>
  <c r="H74" i="28"/>
  <c r="H18" i="13"/>
  <c r="H20" i="13"/>
  <c r="G58" i="13"/>
  <c r="H24" i="13"/>
  <c r="E19" i="36"/>
  <c r="H62" i="28"/>
  <c r="H65" i="28"/>
  <c r="H21" i="28"/>
  <c r="F22" i="21"/>
  <c r="C97" i="13"/>
  <c r="B36" i="13" s="1"/>
  <c r="C6" i="5"/>
  <c r="B3" i="36"/>
  <c r="B22" i="14"/>
  <c r="D6" i="34"/>
  <c r="D20" i="34" s="1"/>
  <c r="D45" i="34" s="1"/>
  <c r="D47" i="32"/>
  <c r="G27" i="48"/>
  <c r="E28" i="48" s="1"/>
  <c r="D44" i="33"/>
  <c r="F27" i="21"/>
  <c r="F27" i="57"/>
  <c r="F80" i="8"/>
  <c r="F20" i="57"/>
  <c r="E31" i="10"/>
  <c r="B45" i="21"/>
  <c r="B45" i="57"/>
  <c r="J6" i="22"/>
  <c r="G7" i="22"/>
  <c r="K17" i="30"/>
  <c r="K28" i="35"/>
  <c r="D43" i="32"/>
  <c r="C28" i="14"/>
  <c r="B77" i="11"/>
  <c r="H74" i="11"/>
  <c r="H71" i="11"/>
  <c r="H72" i="11"/>
  <c r="H33" i="11"/>
  <c r="H32" i="11"/>
  <c r="H30" i="11"/>
  <c r="H29" i="11"/>
  <c r="H75" i="11"/>
  <c r="C73" i="10"/>
  <c r="B22" i="57"/>
  <c r="D27" i="21"/>
  <c r="D27" i="57"/>
  <c r="B17" i="21"/>
  <c r="B17" i="57"/>
  <c r="H66" i="10"/>
  <c r="H73" i="10"/>
  <c r="H70" i="10"/>
  <c r="H71" i="10"/>
  <c r="H32" i="10"/>
  <c r="H31" i="10"/>
  <c r="H29" i="10"/>
  <c r="H28" i="10"/>
  <c r="H74" i="10"/>
  <c r="D97" i="11"/>
  <c r="D23" i="57"/>
  <c r="D47" i="34"/>
  <c r="H68" i="8"/>
  <c r="H75" i="8"/>
  <c r="H72" i="8"/>
  <c r="H76" i="8"/>
  <c r="H73" i="8"/>
  <c r="H34" i="8"/>
  <c r="H31" i="8"/>
  <c r="H33" i="8"/>
  <c r="H30" i="8"/>
  <c r="B29" i="13"/>
  <c r="H66" i="13"/>
  <c r="G9" i="13"/>
  <c r="D20" i="5"/>
  <c r="G58" i="28"/>
  <c r="G55" i="28"/>
  <c r="G14" i="28"/>
  <c r="C98" i="12"/>
  <c r="B29" i="35"/>
  <c r="B30" i="35" s="1"/>
  <c r="B27" i="14"/>
  <c r="E76" i="10"/>
  <c r="G51" i="13"/>
  <c r="D40" i="21"/>
  <c r="E23" i="3"/>
  <c r="F19" i="57"/>
  <c r="G30" i="11"/>
  <c r="G71" i="10"/>
  <c r="E15" i="14"/>
  <c r="E14" i="14" s="1"/>
  <c r="E56" i="16"/>
  <c r="F34" i="57"/>
  <c r="G83" i="7"/>
  <c r="H105" i="7"/>
  <c r="H102" i="7"/>
  <c r="H106" i="7"/>
  <c r="H103" i="7"/>
  <c r="B25" i="21"/>
  <c r="B25" i="57"/>
  <c r="D28" i="21"/>
  <c r="D28" i="57"/>
  <c r="B18" i="21"/>
  <c r="B18" i="57"/>
  <c r="E7" i="27"/>
  <c r="B31" i="27" s="1"/>
  <c r="H18" i="10"/>
  <c r="D35" i="21"/>
  <c r="E73" i="10"/>
  <c r="E62" i="12"/>
  <c r="E63" i="12" s="1"/>
  <c r="E79" i="12" s="1"/>
  <c r="C59" i="14"/>
  <c r="D31" i="10"/>
  <c r="D21" i="57"/>
  <c r="C7" i="27"/>
  <c r="E5" i="13"/>
  <c r="E44" i="13" s="1"/>
  <c r="C5" i="13"/>
  <c r="C44" i="13" s="1"/>
  <c r="H66" i="28"/>
  <c r="B32" i="28"/>
  <c r="E76" i="12"/>
  <c r="H65" i="13"/>
  <c r="D34" i="11"/>
  <c r="B20" i="21"/>
  <c r="D34" i="14"/>
  <c r="D44" i="14" s="1"/>
  <c r="D57" i="14" s="1"/>
  <c r="H22" i="28"/>
  <c r="C20" i="33"/>
  <c r="C46" i="33" s="1"/>
  <c r="C31" i="13"/>
  <c r="D43" i="34"/>
  <c r="F24" i="21"/>
  <c r="F24" i="57"/>
  <c r="J43" i="22"/>
  <c r="F45" i="21"/>
  <c r="F45" i="57"/>
  <c r="G43" i="22"/>
  <c r="F54" i="57"/>
  <c r="C55" i="14"/>
  <c r="E34" i="28"/>
  <c r="F17" i="57"/>
  <c r="D48" i="33"/>
  <c r="E46" i="32"/>
  <c r="F38" i="57"/>
  <c r="E41" i="3"/>
  <c r="C56" i="17"/>
  <c r="D20" i="21"/>
  <c r="D20" i="57"/>
  <c r="C31" i="10"/>
  <c r="B21" i="57"/>
  <c r="D24" i="21"/>
  <c r="D24" i="57"/>
  <c r="D73" i="28"/>
  <c r="D18" i="57"/>
  <c r="D99" i="12"/>
  <c r="B78" i="12" s="1"/>
  <c r="E32" i="3"/>
  <c r="F28" i="57"/>
  <c r="D17" i="21"/>
  <c r="D17" i="57"/>
  <c r="F80" i="12"/>
  <c r="F26" i="57"/>
  <c r="F56" i="57"/>
  <c r="E22" i="3"/>
  <c r="F18" i="57"/>
  <c r="A22" i="36"/>
  <c r="A32" i="36"/>
  <c r="H63" i="13"/>
  <c r="G16" i="13"/>
  <c r="B76" i="13"/>
  <c r="B37" i="28"/>
  <c r="G10" i="28"/>
  <c r="C101" i="8"/>
  <c r="C74" i="8"/>
  <c r="C60" i="16"/>
  <c r="B58" i="14"/>
  <c r="H60" i="28"/>
  <c r="H64" i="8"/>
  <c r="C24" i="11"/>
  <c r="F28" i="21"/>
  <c r="F38" i="10"/>
  <c r="G13" i="13"/>
  <c r="E26" i="3"/>
  <c r="E37" i="12"/>
  <c r="F25" i="57"/>
  <c r="F40" i="21"/>
  <c r="F40" i="57"/>
  <c r="D22" i="21"/>
  <c r="D22" i="57"/>
  <c r="C76" i="11"/>
  <c r="D48" i="11" s="1"/>
  <c r="C73" i="13"/>
  <c r="B28" i="57"/>
  <c r="M51" i="21"/>
  <c r="J39" i="21"/>
  <c r="B13" i="21"/>
  <c r="J46" i="21"/>
  <c r="D51" i="21"/>
  <c r="B56" i="21"/>
  <c r="D56" i="21"/>
  <c r="J55" i="21"/>
  <c r="J32" i="21"/>
  <c r="C75" i="13"/>
  <c r="C100" i="13" s="1"/>
  <c r="E20" i="13"/>
  <c r="G19" i="13" s="1"/>
  <c r="E62" i="13"/>
  <c r="G61" i="13" s="1"/>
  <c r="E73" i="13"/>
  <c r="E23" i="12"/>
  <c r="B26" i="21"/>
  <c r="E34" i="12"/>
  <c r="F26" i="21"/>
  <c r="D25" i="21"/>
  <c r="D97" i="12"/>
  <c r="F38" i="12"/>
  <c r="H63" i="8"/>
  <c r="H67" i="8"/>
  <c r="B35" i="8"/>
  <c r="C82" i="8"/>
  <c r="C5" i="8"/>
  <c r="C45" i="8" s="1"/>
  <c r="H65" i="8"/>
  <c r="D5" i="8"/>
  <c r="D45" i="8" s="1"/>
  <c r="B72" i="8"/>
  <c r="G53" i="8"/>
  <c r="E79" i="8"/>
  <c r="H62" i="8"/>
  <c r="B30" i="8"/>
  <c r="G57" i="8"/>
  <c r="C40" i="8"/>
  <c r="B77" i="8"/>
  <c r="D64" i="11"/>
  <c r="D76" i="11" s="1"/>
  <c r="G61" i="11" s="1"/>
  <c r="H25" i="11"/>
  <c r="H24" i="11"/>
  <c r="H64" i="11"/>
  <c r="D99" i="11"/>
  <c r="B79" i="11" s="1"/>
  <c r="C100" i="11"/>
  <c r="E5" i="11"/>
  <c r="E47" i="11" s="1"/>
  <c r="E34" i="11"/>
  <c r="B37" i="11"/>
  <c r="H20" i="11"/>
  <c r="F23" i="21"/>
  <c r="G59" i="11"/>
  <c r="D23" i="21"/>
  <c r="C62" i="11"/>
  <c r="G55" i="10"/>
  <c r="H24" i="10"/>
  <c r="B76" i="10"/>
  <c r="H63" i="10"/>
  <c r="G51" i="10"/>
  <c r="B34" i="10"/>
  <c r="D5" i="10"/>
  <c r="D44" i="10" s="1"/>
  <c r="H23" i="10"/>
  <c r="H20" i="10"/>
  <c r="G65" i="10"/>
  <c r="B71" i="10"/>
  <c r="C75" i="10"/>
  <c r="C81" i="10"/>
  <c r="C5" i="10"/>
  <c r="C44" i="10" s="1"/>
  <c r="H60" i="10"/>
  <c r="B29" i="10"/>
  <c r="B22" i="21"/>
  <c r="G9" i="10"/>
  <c r="B21" i="21"/>
  <c r="H61" i="10"/>
  <c r="D99" i="10"/>
  <c r="B78" i="10" s="1"/>
  <c r="C97" i="10"/>
  <c r="B36" i="10" s="1"/>
  <c r="F21" i="21"/>
  <c r="D21" i="21"/>
  <c r="G23" i="10"/>
  <c r="G58" i="10"/>
  <c r="E25" i="3"/>
  <c r="E39" i="28"/>
  <c r="G24" i="28"/>
  <c r="F17" i="21"/>
  <c r="E21" i="3"/>
  <c r="E37" i="28"/>
  <c r="F38" i="28"/>
  <c r="C75" i="28"/>
  <c r="C24" i="28"/>
  <c r="C36" i="28" s="1"/>
  <c r="C95" i="28" s="1"/>
  <c r="C73" i="28"/>
  <c r="D94" i="28"/>
  <c r="B39" i="28" s="1"/>
  <c r="D34" i="28"/>
  <c r="E22" i="48"/>
  <c r="G65" i="28"/>
  <c r="E76" i="28"/>
  <c r="C97" i="28"/>
  <c r="B78" i="28" s="1"/>
  <c r="E78" i="28"/>
  <c r="E23" i="28"/>
  <c r="G20" i="28" s="1"/>
  <c r="F18" i="21"/>
  <c r="F80" i="28"/>
  <c r="C61" i="28"/>
  <c r="H97" i="7"/>
  <c r="H92" i="7"/>
  <c r="B109" i="7"/>
  <c r="H94" i="7"/>
  <c r="C114" i="7"/>
  <c r="G90" i="7"/>
  <c r="E6" i="7"/>
  <c r="E68" i="7" s="1"/>
  <c r="C6" i="7"/>
  <c r="C68" i="7" s="1"/>
  <c r="H95" i="7"/>
  <c r="D6" i="7"/>
  <c r="D68" i="7" s="1"/>
  <c r="E79" i="7"/>
  <c r="E107" i="7" s="1"/>
  <c r="H93" i="7"/>
  <c r="G87" i="7"/>
  <c r="C43" i="21"/>
  <c r="F20" i="21"/>
  <c r="D19" i="21"/>
  <c r="C22" i="8"/>
  <c r="C34" i="8" s="1"/>
  <c r="C100" i="8" s="1"/>
  <c r="E77" i="8"/>
  <c r="F38" i="8"/>
  <c r="D74" i="8"/>
  <c r="E37" i="8"/>
  <c r="C76" i="8"/>
  <c r="D46" i="8" s="1"/>
  <c r="D64" i="8" s="1"/>
  <c r="D76" i="8" s="1"/>
  <c r="E63" i="8"/>
  <c r="G63" i="8" s="1"/>
  <c r="G25" i="8"/>
  <c r="D99" i="8"/>
  <c r="G60" i="8"/>
  <c r="G11" i="8"/>
  <c r="H22" i="8"/>
  <c r="H23" i="8"/>
  <c r="H20" i="8"/>
  <c r="H26" i="8"/>
  <c r="G15" i="8"/>
  <c r="G18" i="8"/>
  <c r="H21" i="8"/>
  <c r="H25" i="8"/>
  <c r="C99" i="8"/>
  <c r="D101" i="8"/>
  <c r="B79" i="8" s="1"/>
  <c r="B19" i="21"/>
  <c r="C32" i="8"/>
  <c r="D29" i="35"/>
  <c r="G47" i="3"/>
  <c r="F12" i="3"/>
  <c r="B8" i="3"/>
  <c r="G13" i="10"/>
  <c r="J43" i="21"/>
  <c r="J52" i="21"/>
  <c r="E5" i="33"/>
  <c r="D5" i="36"/>
  <c r="H64" i="12"/>
  <c r="H68" i="12"/>
  <c r="H67" i="12"/>
  <c r="H25" i="12"/>
  <c r="J45" i="21"/>
  <c r="B59" i="17"/>
  <c r="B34" i="15"/>
  <c r="C39" i="10"/>
  <c r="E10" i="3"/>
  <c r="D5" i="32"/>
  <c r="J53" i="21"/>
  <c r="J36" i="21"/>
  <c r="H98" i="7"/>
  <c r="G15" i="12"/>
  <c r="H23" i="12"/>
  <c r="H65" i="12"/>
  <c r="C5" i="12"/>
  <c r="C47" i="12" s="1"/>
  <c r="D5" i="17"/>
  <c r="D34" i="17" s="1"/>
  <c r="B28" i="17"/>
  <c r="H65" i="10"/>
  <c r="B9" i="3"/>
  <c r="B23" i="17"/>
  <c r="G16" i="10"/>
  <c r="G51" i="3"/>
  <c r="B46" i="32"/>
  <c r="E5" i="10"/>
  <c r="E44" i="10" s="1"/>
  <c r="H21" i="10"/>
  <c r="D48" i="31"/>
  <c r="E6" i="31"/>
  <c r="E20" i="31" s="1"/>
  <c r="E45" i="31" s="1"/>
  <c r="E47" i="31" s="1"/>
  <c r="E14" i="7"/>
  <c r="G20" i="5"/>
  <c r="E53" i="28"/>
  <c r="E20" i="5"/>
  <c r="D61" i="14"/>
  <c r="E34" i="14"/>
  <c r="E44" i="14" s="1"/>
  <c r="E57" i="14" s="1"/>
  <c r="E59" i="14" s="1"/>
  <c r="D6" i="13"/>
  <c r="D21" i="13" s="1"/>
  <c r="D33" i="13" s="1"/>
  <c r="C98" i="13"/>
  <c r="D6" i="14"/>
  <c r="C29" i="14"/>
  <c r="D98" i="12"/>
  <c r="G20" i="12"/>
  <c r="E6" i="12"/>
  <c r="E21" i="8"/>
  <c r="G21" i="8" s="1"/>
  <c r="D6" i="10"/>
  <c r="D21" i="10" s="1"/>
  <c r="D33" i="10" s="1"/>
  <c r="C98" i="10"/>
  <c r="D61" i="16"/>
  <c r="C36" i="15"/>
  <c r="D6" i="15"/>
  <c r="D20" i="15" s="1"/>
  <c r="D33" i="15" s="1"/>
  <c r="E12" i="10"/>
  <c r="E20" i="10" s="1"/>
  <c r="F20" i="5"/>
  <c r="B33" i="21"/>
  <c r="C29" i="16"/>
  <c r="C25" i="16"/>
  <c r="G24" i="11"/>
  <c r="C34" i="11"/>
  <c r="C97" i="11"/>
  <c r="B39" i="11" s="1"/>
  <c r="C36" i="11"/>
  <c r="G62" i="12"/>
  <c r="D100" i="12"/>
  <c r="E62" i="10"/>
  <c r="E43" i="21"/>
  <c r="C53" i="15"/>
  <c r="C55" i="15"/>
  <c r="C70" i="15" s="1"/>
  <c r="D6" i="32"/>
  <c r="D20" i="32" s="1"/>
  <c r="D45" i="32" s="1"/>
  <c r="C48" i="32"/>
  <c r="D19" i="36"/>
  <c r="K28" i="30"/>
  <c r="J29" i="30"/>
  <c r="J30" i="30" s="1"/>
  <c r="C25" i="17"/>
  <c r="C27" i="17"/>
  <c r="C29" i="17"/>
  <c r="B35" i="21"/>
  <c r="E27" i="14"/>
  <c r="E33" i="3"/>
  <c r="F29" i="21"/>
  <c r="E40" i="3"/>
  <c r="E56" i="17"/>
  <c r="E59" i="17"/>
  <c r="G52" i="11"/>
  <c r="C82" i="11"/>
  <c r="H66" i="11"/>
  <c r="H67" i="11"/>
  <c r="H63" i="11"/>
  <c r="B72" i="11"/>
  <c r="G56" i="11"/>
  <c r="H61" i="11"/>
  <c r="G10" i="11"/>
  <c r="B32" i="11"/>
  <c r="D5" i="11"/>
  <c r="D47" i="11" s="1"/>
  <c r="C5" i="11"/>
  <c r="C47" i="11" s="1"/>
  <c r="G14" i="11"/>
  <c r="H22" i="11"/>
  <c r="C42" i="11"/>
  <c r="H62" i="11"/>
  <c r="H21" i="11"/>
  <c r="G17" i="11"/>
  <c r="H19" i="11"/>
  <c r="J123" i="45"/>
  <c r="E27" i="3"/>
  <c r="F19" i="21"/>
  <c r="E32" i="8"/>
  <c r="E35" i="8"/>
  <c r="C27" i="16"/>
  <c r="K17" i="35"/>
  <c r="D24" i="14"/>
  <c r="D28" i="14"/>
  <c r="D29" i="21"/>
  <c r="C99" i="13"/>
  <c r="B78" i="13" s="1"/>
  <c r="G65" i="13"/>
  <c r="B28" i="21"/>
  <c r="C43" i="34"/>
  <c r="C47" i="34"/>
  <c r="B40" i="21"/>
  <c r="E58" i="14"/>
  <c r="F30" i="21"/>
  <c r="B59" i="9"/>
  <c r="C71" i="7"/>
  <c r="C79" i="7" s="1"/>
  <c r="C107" i="7" s="1"/>
  <c r="B16" i="57" s="1"/>
  <c r="E5" i="28"/>
  <c r="E47" i="28" s="1"/>
  <c r="B76" i="28"/>
  <c r="C100" i="12"/>
  <c r="F39" i="21"/>
  <c r="E44" i="33"/>
  <c r="E34" i="15"/>
  <c r="E35" i="3"/>
  <c r="D55" i="14"/>
  <c r="D59" i="14"/>
  <c r="G25" i="12"/>
  <c r="C97" i="12"/>
  <c r="K43" i="22"/>
  <c r="C20" i="5"/>
  <c r="G32" i="5" s="1"/>
  <c r="D15" i="14"/>
  <c r="D14" i="14" s="1"/>
  <c r="C74" i="11"/>
  <c r="G66" i="11"/>
  <c r="D75" i="7"/>
  <c r="D79" i="7" s="1"/>
  <c r="D107" i="7" s="1"/>
  <c r="D16" i="57" s="1"/>
  <c r="E37" i="11"/>
  <c r="E24" i="3"/>
  <c r="E74" i="8"/>
  <c r="D25" i="16"/>
  <c r="D33" i="21"/>
  <c r="B29" i="15"/>
  <c r="D5" i="15"/>
  <c r="D40" i="15" s="1"/>
  <c r="C5" i="15"/>
  <c r="C40" i="15" s="1"/>
  <c r="F38" i="13"/>
  <c r="B18" i="30"/>
  <c r="D120" i="7"/>
  <c r="K30" i="30" l="1"/>
  <c r="D43" i="57"/>
  <c r="D46" i="57" s="1"/>
  <c r="F31" i="5"/>
  <c r="E81" i="12"/>
  <c r="F30" i="3" s="1"/>
  <c r="E59" i="7"/>
  <c r="G93" i="7" s="1"/>
  <c r="G63" i="12"/>
  <c r="B42" i="57"/>
  <c r="B42" i="21"/>
  <c r="G106" i="7"/>
  <c r="G76" i="12"/>
  <c r="G32" i="10"/>
  <c r="G33" i="11"/>
  <c r="G75" i="11"/>
  <c r="G74" i="13"/>
  <c r="G74" i="28"/>
  <c r="G34" i="12"/>
  <c r="G76" i="8"/>
  <c r="G74" i="10"/>
  <c r="G33" i="28"/>
  <c r="G32" i="13"/>
  <c r="G34" i="8"/>
  <c r="G64" i="12"/>
  <c r="K64" i="12" s="1"/>
  <c r="G26" i="57"/>
  <c r="H26" i="57"/>
  <c r="D61" i="17"/>
  <c r="E35" i="17"/>
  <c r="E45" i="17" s="1"/>
  <c r="E58" i="17" s="1"/>
  <c r="E60" i="17" s="1"/>
  <c r="B41" i="21"/>
  <c r="B41" i="57"/>
  <c r="D6" i="33"/>
  <c r="D20" i="33" s="1"/>
  <c r="D46" i="33" s="1"/>
  <c r="C50" i="33"/>
  <c r="E24" i="12"/>
  <c r="E40" i="12" s="1"/>
  <c r="K30" i="35"/>
  <c r="G21" i="12"/>
  <c r="B40" i="12"/>
  <c r="D49" i="34"/>
  <c r="E6" i="34"/>
  <c r="E20" i="34" s="1"/>
  <c r="E45" i="34" s="1"/>
  <c r="E47" i="34" s="1"/>
  <c r="E111" i="7"/>
  <c r="F16" i="57"/>
  <c r="F43" i="57" s="1"/>
  <c r="F46" i="57" s="1"/>
  <c r="D45" i="13"/>
  <c r="D63" i="13" s="1"/>
  <c r="D75" i="13" s="1"/>
  <c r="E45" i="13" s="1"/>
  <c r="E63" i="13" s="1"/>
  <c r="E79" i="13" s="1"/>
  <c r="E61" i="12"/>
  <c r="G26" i="21"/>
  <c r="H26" i="21"/>
  <c r="G72" i="12" s="1"/>
  <c r="B39" i="12"/>
  <c r="D100" i="11"/>
  <c r="B80" i="11" s="1"/>
  <c r="E48" i="11"/>
  <c r="E64" i="11" s="1"/>
  <c r="E80" i="11" s="1"/>
  <c r="D45" i="10"/>
  <c r="D63" i="10" s="1"/>
  <c r="D75" i="10" s="1"/>
  <c r="C100" i="10"/>
  <c r="C102" i="8"/>
  <c r="D6" i="28"/>
  <c r="D24" i="28" s="1"/>
  <c r="D36" i="28" s="1"/>
  <c r="E6" i="28" s="1"/>
  <c r="E24" i="28" s="1"/>
  <c r="C98" i="28"/>
  <c r="D48" i="28"/>
  <c r="D63" i="28" s="1"/>
  <c r="D75" i="28" s="1"/>
  <c r="E106" i="7"/>
  <c r="F16" i="21"/>
  <c r="F43" i="21" s="1"/>
  <c r="F46" i="21" s="1"/>
  <c r="E109" i="7"/>
  <c r="F110" i="7"/>
  <c r="E20" i="3"/>
  <c r="E47" i="3" s="1"/>
  <c r="D6" i="8"/>
  <c r="D22" i="8" s="1"/>
  <c r="D34" i="8" s="1"/>
  <c r="G20" i="8" s="1"/>
  <c r="B37" i="8"/>
  <c r="D30" i="35"/>
  <c r="K29" i="35"/>
  <c r="D142" i="7"/>
  <c r="D16" i="21"/>
  <c r="D43" i="21" s="1"/>
  <c r="D46" i="21" s="1"/>
  <c r="D106" i="7"/>
  <c r="D48" i="32"/>
  <c r="E6" i="32"/>
  <c r="E20" i="32" s="1"/>
  <c r="E45" i="32" s="1"/>
  <c r="E47" i="32" s="1"/>
  <c r="D6" i="17"/>
  <c r="D16" i="17" s="1"/>
  <c r="D27" i="17" s="1"/>
  <c r="C30" i="17"/>
  <c r="G19" i="10"/>
  <c r="E46" i="8"/>
  <c r="E64" i="8" s="1"/>
  <c r="E80" i="8" s="1"/>
  <c r="D102" i="8"/>
  <c r="G62" i="8"/>
  <c r="D16" i="14"/>
  <c r="D26" i="14" s="1"/>
  <c r="C106" i="7"/>
  <c r="G97" i="7"/>
  <c r="C142" i="7"/>
  <c r="C108" i="7"/>
  <c r="B16" i="21"/>
  <c r="M38" i="21"/>
  <c r="M46" i="21" s="1"/>
  <c r="D36" i="15"/>
  <c r="E6" i="15"/>
  <c r="E20" i="15" s="1"/>
  <c r="E33" i="15" s="1"/>
  <c r="E35" i="15" s="1"/>
  <c r="E62" i="28"/>
  <c r="G61" i="28" s="1"/>
  <c r="G18" i="48"/>
  <c r="E30" i="5"/>
  <c r="D29" i="5"/>
  <c r="D98" i="10"/>
  <c r="B37" i="10" s="1"/>
  <c r="E6" i="10"/>
  <c r="E21" i="10" s="1"/>
  <c r="E37" i="10" s="1"/>
  <c r="G18" i="10"/>
  <c r="D6" i="11"/>
  <c r="D24" i="11" s="1"/>
  <c r="D36" i="11" s="1"/>
  <c r="C98" i="11"/>
  <c r="G61" i="10"/>
  <c r="D98" i="13"/>
  <c r="B37" i="13" s="1"/>
  <c r="E6" i="13"/>
  <c r="E21" i="13" s="1"/>
  <c r="E37" i="13" s="1"/>
  <c r="G18" i="13"/>
  <c r="C30" i="16"/>
  <c r="D6" i="16"/>
  <c r="D16" i="16" s="1"/>
  <c r="D27" i="16" s="1"/>
  <c r="D41" i="15"/>
  <c r="D55" i="15" s="1"/>
  <c r="D70" i="15" s="1"/>
  <c r="C73" i="15"/>
  <c r="B29" i="30"/>
  <c r="K18" i="30"/>
  <c r="B79" i="12"/>
  <c r="B43" i="57" l="1"/>
  <c r="B46" i="57" s="1"/>
  <c r="B43" i="21"/>
  <c r="B46" i="21" s="1"/>
  <c r="E38" i="10"/>
  <c r="E39" i="10" s="1"/>
  <c r="E81" i="11"/>
  <c r="E82" i="11" s="1"/>
  <c r="E81" i="8"/>
  <c r="E82" i="8" s="1"/>
  <c r="E42" i="12"/>
  <c r="H25" i="21" s="1"/>
  <c r="G30" i="12" s="1"/>
  <c r="E41" i="12"/>
  <c r="E38" i="13"/>
  <c r="E39" i="13" s="1"/>
  <c r="E80" i="13"/>
  <c r="E81" i="13" s="1"/>
  <c r="G65" i="12"/>
  <c r="G68" i="12" s="1"/>
  <c r="G63" i="11"/>
  <c r="G64" i="11" s="1"/>
  <c r="G67" i="11" s="1"/>
  <c r="G22" i="12"/>
  <c r="E6" i="33"/>
  <c r="E20" i="33" s="1"/>
  <c r="E46" i="33" s="1"/>
  <c r="E48" i="33" s="1"/>
  <c r="D50" i="33"/>
  <c r="D95" i="28"/>
  <c r="B40" i="28" s="1"/>
  <c r="G19" i="28"/>
  <c r="G60" i="13"/>
  <c r="D100" i="13"/>
  <c r="B79" i="13" s="1"/>
  <c r="D100" i="10"/>
  <c r="B79" i="10" s="1"/>
  <c r="E45" i="10"/>
  <c r="E63" i="10" s="1"/>
  <c r="E79" i="10" s="1"/>
  <c r="G60" i="10"/>
  <c r="B80" i="8"/>
  <c r="D98" i="28"/>
  <c r="B79" i="28" s="1"/>
  <c r="E48" i="28"/>
  <c r="E63" i="28" s="1"/>
  <c r="G60" i="28"/>
  <c r="B111" i="7"/>
  <c r="D100" i="8"/>
  <c r="B38" i="8" s="1"/>
  <c r="E6" i="8"/>
  <c r="E22" i="8" s="1"/>
  <c r="E38" i="8" s="1"/>
  <c r="E40" i="28"/>
  <c r="D73" i="15"/>
  <c r="E41" i="15"/>
  <c r="E55" i="15" s="1"/>
  <c r="E70" i="15" s="1"/>
  <c r="E72" i="15" s="1"/>
  <c r="G64" i="8"/>
  <c r="G20" i="13"/>
  <c r="D30" i="16"/>
  <c r="E6" i="16"/>
  <c r="E16" i="16" s="1"/>
  <c r="E27" i="16" s="1"/>
  <c r="E29" i="16" s="1"/>
  <c r="G62" i="13"/>
  <c r="D29" i="14"/>
  <c r="E6" i="14"/>
  <c r="E16" i="14" s="1"/>
  <c r="E26" i="14" s="1"/>
  <c r="E28" i="14" s="1"/>
  <c r="E6" i="17"/>
  <c r="E16" i="17" s="1"/>
  <c r="E27" i="17" s="1"/>
  <c r="E29" i="17" s="1"/>
  <c r="D30" i="17"/>
  <c r="E6" i="11"/>
  <c r="E24" i="11" s="1"/>
  <c r="E40" i="11" s="1"/>
  <c r="G19" i="11"/>
  <c r="D98" i="11"/>
  <c r="B40" i="11" s="1"/>
  <c r="K29" i="30"/>
  <c r="B30" i="30"/>
  <c r="C143" i="7"/>
  <c r="D7" i="7"/>
  <c r="D60" i="7" s="1"/>
  <c r="E62" i="8" l="1"/>
  <c r="G20" i="21"/>
  <c r="H20" i="21"/>
  <c r="G72" i="8" s="1"/>
  <c r="H20" i="57"/>
  <c r="G20" i="57"/>
  <c r="F24" i="3"/>
  <c r="G27" i="21"/>
  <c r="G27" i="57"/>
  <c r="F31" i="3"/>
  <c r="H27" i="57"/>
  <c r="H27" i="21"/>
  <c r="G28" i="13" s="1"/>
  <c r="E19" i="13"/>
  <c r="G24" i="21"/>
  <c r="F28" i="3"/>
  <c r="E62" i="11"/>
  <c r="H24" i="57"/>
  <c r="G24" i="57"/>
  <c r="H24" i="21"/>
  <c r="G71" i="11" s="1"/>
  <c r="K63" i="11"/>
  <c r="H28" i="57"/>
  <c r="E61" i="13"/>
  <c r="F32" i="3"/>
  <c r="G28" i="21"/>
  <c r="G28" i="57"/>
  <c r="H28" i="21"/>
  <c r="G70" i="13" s="1"/>
  <c r="H21" i="57"/>
  <c r="G21" i="21"/>
  <c r="F25" i="3"/>
  <c r="H21" i="21"/>
  <c r="G28" i="10" s="1"/>
  <c r="G20" i="10"/>
  <c r="K20" i="10" s="1"/>
  <c r="E19" i="10"/>
  <c r="G21" i="57"/>
  <c r="E41" i="11"/>
  <c r="E42" i="11" s="1"/>
  <c r="K22" i="12"/>
  <c r="K20" i="13"/>
  <c r="E22" i="12"/>
  <c r="E41" i="28"/>
  <c r="E42" i="28" s="1"/>
  <c r="G25" i="57"/>
  <c r="F29" i="3"/>
  <c r="K62" i="13"/>
  <c r="E39" i="8"/>
  <c r="E40" i="8" s="1"/>
  <c r="G25" i="21"/>
  <c r="E80" i="10"/>
  <c r="E81" i="10" s="1"/>
  <c r="H25" i="57"/>
  <c r="K64" i="8"/>
  <c r="G23" i="12"/>
  <c r="G26" i="12" s="1"/>
  <c r="G62" i="10"/>
  <c r="G65" i="8"/>
  <c r="G68" i="8" s="1"/>
  <c r="G63" i="13"/>
  <c r="G66" i="13" s="1"/>
  <c r="D69" i="7"/>
  <c r="D108" i="7"/>
  <c r="G21" i="11"/>
  <c r="G21" i="13"/>
  <c r="G24" i="13" s="1"/>
  <c r="E79" i="28"/>
  <c r="G21" i="10"/>
  <c r="G24" i="10" s="1"/>
  <c r="G19" i="57" l="1"/>
  <c r="E20" i="8"/>
  <c r="F23" i="3"/>
  <c r="G19" i="21"/>
  <c r="H19" i="21"/>
  <c r="G30" i="8" s="1"/>
  <c r="G22" i="8"/>
  <c r="G23" i="8" s="1"/>
  <c r="G26" i="8" s="1"/>
  <c r="F21" i="3"/>
  <c r="G21" i="28"/>
  <c r="E22" i="28"/>
  <c r="H17" i="21"/>
  <c r="G29" i="28" s="1"/>
  <c r="G17" i="21"/>
  <c r="H17" i="57"/>
  <c r="G17" i="57"/>
  <c r="G22" i="21"/>
  <c r="F26" i="3"/>
  <c r="H22" i="21"/>
  <c r="G70" i="10" s="1"/>
  <c r="G22" i="57"/>
  <c r="E61" i="10"/>
  <c r="H22" i="57"/>
  <c r="H23" i="21"/>
  <c r="G29" i="11" s="1"/>
  <c r="H23" i="57"/>
  <c r="G23" i="21"/>
  <c r="F27" i="3"/>
  <c r="G23" i="57"/>
  <c r="E22" i="11"/>
  <c r="K21" i="11"/>
  <c r="E80" i="28"/>
  <c r="E81" i="28" s="1"/>
  <c r="K62" i="10"/>
  <c r="H19" i="57"/>
  <c r="G63" i="10"/>
  <c r="G66" i="10" s="1"/>
  <c r="G92" i="7"/>
  <c r="E7" i="7"/>
  <c r="E60" i="7" s="1"/>
  <c r="D143" i="7"/>
  <c r="B112" i="7" s="1"/>
  <c r="K21" i="28"/>
  <c r="G22" i="28"/>
  <c r="G25" i="28" s="1"/>
  <c r="G22" i="11"/>
  <c r="G25" i="11" s="1"/>
  <c r="K22" i="8" l="1"/>
  <c r="G15" i="48"/>
  <c r="G22" i="48" s="1"/>
  <c r="F22" i="3"/>
  <c r="H18" i="57"/>
  <c r="E61" i="28"/>
  <c r="G18" i="21"/>
  <c r="H18" i="21"/>
  <c r="G70" i="28" s="1"/>
  <c r="G18" i="57"/>
  <c r="G62" i="28"/>
  <c r="K62" i="28" s="1"/>
  <c r="E23" i="48"/>
  <c r="D24" i="48"/>
  <c r="F33" i="48" s="1"/>
  <c r="F82" i="28" s="1"/>
  <c r="E69" i="7"/>
  <c r="E112" i="7"/>
  <c r="G29" i="48"/>
  <c r="E30" i="48" s="1"/>
  <c r="D31" i="48" s="1"/>
  <c r="G63" i="28" l="1"/>
  <c r="G66" i="28" s="1"/>
  <c r="E113" i="7"/>
  <c r="E114" i="7" l="1"/>
  <c r="G94" i="7" s="1"/>
  <c r="K94" i="7" l="1"/>
  <c r="G95" i="7"/>
  <c r="G98" i="7" s="1"/>
  <c r="F20" i="3"/>
  <c r="F47" i="3" s="1"/>
  <c r="E58" i="7"/>
  <c r="G16" i="57"/>
  <c r="G43" i="57" s="1"/>
  <c r="M45" i="57" s="1"/>
  <c r="M47" i="57" s="1"/>
  <c r="G16" i="21"/>
  <c r="G43" i="21" s="1"/>
  <c r="M45" i="21" s="1"/>
  <c r="M47" i="21" s="1"/>
  <c r="H16" i="21" l="1"/>
  <c r="H43" i="21" s="1"/>
  <c r="H16" i="57"/>
  <c r="H43" i="57" s="1"/>
  <c r="M57" i="57" s="1"/>
  <c r="J59" i="57" s="1"/>
  <c r="M40" i="21"/>
  <c r="J40" i="21" s="1"/>
  <c r="M41" i="21"/>
  <c r="J41" i="21" s="1"/>
  <c r="M41" i="57"/>
  <c r="J41" i="57" s="1"/>
  <c r="M40" i="57"/>
  <c r="J40" i="57" s="1"/>
  <c r="M52" i="57"/>
  <c r="G102" i="7" l="1"/>
  <c r="G12" i="58"/>
  <c r="G105" i="7"/>
  <c r="J108" i="7" s="1"/>
  <c r="G110" i="7" s="1"/>
  <c r="G73" i="13"/>
  <c r="J76" i="13" s="1"/>
  <c r="G78" i="13" s="1"/>
  <c r="G74" i="11"/>
  <c r="J77" i="11" s="1"/>
  <c r="G79" i="11" s="1"/>
  <c r="G73" i="10"/>
  <c r="J76" i="10" s="1"/>
  <c r="G78" i="10" s="1"/>
  <c r="M52" i="21"/>
  <c r="M57" i="21"/>
  <c r="J59" i="21" s="1"/>
  <c r="G33" i="8"/>
  <c r="J36" i="8" s="1"/>
  <c r="G38" i="8" s="1"/>
  <c r="G33" i="12"/>
  <c r="J36" i="12" s="1"/>
  <c r="G38" i="12" s="1"/>
  <c r="G31" i="10"/>
  <c r="J34" i="10" s="1"/>
  <c r="G36" i="10" s="1"/>
  <c r="G75" i="8"/>
  <c r="J78" i="8" s="1"/>
  <c r="G80" i="8" s="1"/>
  <c r="G31" i="13"/>
  <c r="J34" i="13" s="1"/>
  <c r="G36" i="13" s="1"/>
  <c r="G32" i="28"/>
  <c r="J35" i="28" s="1"/>
  <c r="G37" i="28" s="1"/>
  <c r="G73" i="28"/>
  <c r="J76" i="28" s="1"/>
  <c r="G78" i="28" s="1"/>
  <c r="G75" i="12"/>
  <c r="J78" i="12" s="1"/>
  <c r="G80" i="12" s="1"/>
  <c r="G32" i="11"/>
  <c r="J35" i="11" s="1"/>
  <c r="G37" i="11" s="1"/>
</calcChain>
</file>

<file path=xl/sharedStrings.xml><?xml version="1.0" encoding="utf-8"?>
<sst xmlns="http://schemas.openxmlformats.org/spreadsheetml/2006/main" count="2214" uniqueCount="1133">
  <si>
    <t>(2) after the Budget Hearing this budget was duly approved and adopted as the</t>
  </si>
  <si>
    <t xml:space="preserve"> </t>
  </si>
  <si>
    <t>Page</t>
  </si>
  <si>
    <t>Table of Contents:</t>
  </si>
  <si>
    <t>No.</t>
  </si>
  <si>
    <t>Statement of Indebtedness</t>
  </si>
  <si>
    <t>Statement of Lease-Purchases</t>
  </si>
  <si>
    <t>Fund</t>
  </si>
  <si>
    <t>K.S.A.</t>
  </si>
  <si>
    <t>Totals</t>
  </si>
  <si>
    <t>x</t>
  </si>
  <si>
    <t>Assisted by:</t>
  </si>
  <si>
    <t>Governing Body</t>
  </si>
  <si>
    <t>County Clerk</t>
  </si>
  <si>
    <t>Amount</t>
  </si>
  <si>
    <t>Computation of Delinquency</t>
  </si>
  <si>
    <t>TOTAL</t>
  </si>
  <si>
    <t>County Treas Motor Vehicle Estimate</t>
  </si>
  <si>
    <t>Motor Vehicle Factor</t>
  </si>
  <si>
    <t>Recreational Vehicle Factor</t>
  </si>
  <si>
    <t>Adopted Budget</t>
  </si>
  <si>
    <t>Ad Valorem Tax</t>
  </si>
  <si>
    <t>Delinquent Tax</t>
  </si>
  <si>
    <t>Motor Vehicle Tax</t>
  </si>
  <si>
    <t>Recreational Vehicle Tax</t>
  </si>
  <si>
    <t>In Lieu of Taxes (IRB)</t>
  </si>
  <si>
    <t>Interest on Idle Funds</t>
  </si>
  <si>
    <t>Total Receipts</t>
  </si>
  <si>
    <t>Resources Available:</t>
  </si>
  <si>
    <t xml:space="preserve">Page No. </t>
  </si>
  <si>
    <t>Expenditures:</t>
  </si>
  <si>
    <t xml:space="preserve">  Contractual</t>
  </si>
  <si>
    <t xml:space="preserve">  Commodities</t>
  </si>
  <si>
    <t xml:space="preserve">  Capital Outlay</t>
  </si>
  <si>
    <t>Total Expenditures</t>
  </si>
  <si>
    <t>Tax Required</t>
  </si>
  <si>
    <t>%</t>
  </si>
  <si>
    <t>Page No.</t>
  </si>
  <si>
    <t xml:space="preserve">  Salaries</t>
  </si>
  <si>
    <t>Page Total</t>
  </si>
  <si>
    <t xml:space="preserve">The governing body of </t>
  </si>
  <si>
    <t>Actual</t>
  </si>
  <si>
    <t xml:space="preserve">     FUND</t>
  </si>
  <si>
    <t xml:space="preserve"> Expenditures</t>
  </si>
  <si>
    <t>Less: Transfers</t>
  </si>
  <si>
    <t>Net Expenditure</t>
  </si>
  <si>
    <t>Total Tax Levied</t>
  </si>
  <si>
    <t xml:space="preserve">Assessed </t>
  </si>
  <si>
    <t>Valuation</t>
  </si>
  <si>
    <t>Outstanding Indebtedness,</t>
  </si>
  <si>
    <t xml:space="preserve">  January 1,</t>
  </si>
  <si>
    <t>G.O. Bonds</t>
  </si>
  <si>
    <t>Revenue Bonds</t>
  </si>
  <si>
    <t xml:space="preserve">     Total</t>
  </si>
  <si>
    <t xml:space="preserve">  *Tax rates are expressed in mills</t>
  </si>
  <si>
    <t>Date</t>
  </si>
  <si>
    <t xml:space="preserve">   Amount Due</t>
  </si>
  <si>
    <t>of</t>
  </si>
  <si>
    <t>Rate</t>
  </si>
  <si>
    <t xml:space="preserve">  Date Due</t>
  </si>
  <si>
    <t>Issue</t>
  </si>
  <si>
    <t>Issued</t>
  </si>
  <si>
    <t>General Obligation:</t>
  </si>
  <si>
    <t>Total G.O. Bonds</t>
  </si>
  <si>
    <t>Revenue Bonds:</t>
  </si>
  <si>
    <t>Total Revenue Bonds</t>
  </si>
  <si>
    <t>Other:</t>
  </si>
  <si>
    <t>Total Indebtedness</t>
  </si>
  <si>
    <t>Term of</t>
  </si>
  <si>
    <t>Interest</t>
  </si>
  <si>
    <t>Other</t>
  </si>
  <si>
    <t>Principal</t>
  </si>
  <si>
    <t>Payments</t>
  </si>
  <si>
    <t xml:space="preserve">  Contract</t>
  </si>
  <si>
    <t>Contract</t>
  </si>
  <si>
    <t>Financed</t>
  </si>
  <si>
    <t>Due</t>
  </si>
  <si>
    <t>Item Purchased</t>
  </si>
  <si>
    <t>(Months)</t>
  </si>
  <si>
    <t>CERTIFICATE</t>
  </si>
  <si>
    <t>STATEMENT OF CONDITIONAL LEASE-PURCHASE AND CERTIFICATE OF PARTICIPATION*</t>
  </si>
  <si>
    <t>NOTICE OF BUDGET HEARING</t>
  </si>
  <si>
    <t>BUDGET SUMMARY</t>
  </si>
  <si>
    <t>FUND PAGE - GENERAL</t>
  </si>
  <si>
    <t>FUND PAGE FOR FUNDS WITH A TAX LEVY</t>
  </si>
  <si>
    <t>FUND PAGE FOR FUNDS WITH NO TAX LEVY</t>
  </si>
  <si>
    <t>STATEMENT OF INDEBTEDNESS</t>
  </si>
  <si>
    <t>16/20M Veh</t>
  </si>
  <si>
    <t>MVT</t>
  </si>
  <si>
    <t>RVT</t>
  </si>
  <si>
    <t>16/20M Vehicle Factor</t>
  </si>
  <si>
    <t>16/20M Vehicle Tax</t>
  </si>
  <si>
    <t>Gross Earning (Intangible) Tax</t>
  </si>
  <si>
    <t>Special Highway</t>
  </si>
  <si>
    <t>State of Kansas Gas Tax</t>
  </si>
  <si>
    <t>Balance On</t>
  </si>
  <si>
    <t xml:space="preserve">  Real Estate</t>
  </si>
  <si>
    <t xml:space="preserve">  State Assessed</t>
  </si>
  <si>
    <t xml:space="preserve">  New Improvements</t>
  </si>
  <si>
    <t>Unencumbered Cash Balance Jan 1</t>
  </si>
  <si>
    <t>Unencumbered Cash Balance Dec 31</t>
  </si>
  <si>
    <t>Receipts:</t>
  </si>
  <si>
    <t>12-101a</t>
  </si>
  <si>
    <t>Schedule of Transfers</t>
  </si>
  <si>
    <t>(Beginning Principal)</t>
  </si>
  <si>
    <t>Estimated Tax Rate is subject to change depending on the final assessed valuation.</t>
  </si>
  <si>
    <t>Lease Purchase Principal</t>
  </si>
  <si>
    <t>County Clerk's Use Only</t>
  </si>
  <si>
    <t>Current</t>
  </si>
  <si>
    <t>Proposed</t>
  </si>
  <si>
    <t>Address:</t>
  </si>
  <si>
    <t>Territory Added: (Current Year Only)</t>
  </si>
  <si>
    <t>Neighborhood Revitalization</t>
  </si>
  <si>
    <t>16\20 M Vehicle Tax</t>
  </si>
  <si>
    <t>LAVTR</t>
  </si>
  <si>
    <t>City and County Revenue Sharing</t>
  </si>
  <si>
    <t xml:space="preserve">   </t>
  </si>
  <si>
    <t>10-113</t>
  </si>
  <si>
    <t>Other (non-tax levy) fund names:</t>
  </si>
  <si>
    <t xml:space="preserve">  G.O. Bonds</t>
  </si>
  <si>
    <t xml:space="preserve">  Revenue Bonds</t>
  </si>
  <si>
    <t xml:space="preserve">  Other</t>
  </si>
  <si>
    <t xml:space="preserve">  Lease Purchase Principal</t>
  </si>
  <si>
    <t>Cash Balance Dec 31</t>
  </si>
  <si>
    <t xml:space="preserve">Unencumbered </t>
  </si>
  <si>
    <t>Salaries &amp; Wages</t>
  </si>
  <si>
    <t>Amount of</t>
  </si>
  <si>
    <t>Valorem Tax</t>
  </si>
  <si>
    <t>NON-BUDGETED FUNDS (A)</t>
  </si>
  <si>
    <t>NON-BUDGETED FUNDS (B)</t>
  </si>
  <si>
    <t>14. Added to instruction line 9c about the miscellaneous receipt for the proposed year takes into account the ad valorem taxes for the 10% Rule.</t>
  </si>
  <si>
    <t>15. Added to instruction line 6 for using chartered ordinance number in place of statute reference.</t>
  </si>
  <si>
    <t>12. Changed instruction line 9a to reflect General Fund Detail (GenDetail) is linked to the General Fund (general) and that detail 'Page Total' amounts should agree to 'Sub-Total' on the General Fund page.</t>
  </si>
  <si>
    <t>9. Added instruction line 2b to explain how to delete delinquency rate from tax levy fund pages.</t>
  </si>
  <si>
    <t>13. Added instruction lines 9j to 9l for additional edits for budget authority.</t>
  </si>
  <si>
    <t>Non-Budgeted (B)</t>
  </si>
  <si>
    <t>(1) Fund Name:</t>
  </si>
  <si>
    <t>(2) Fund Name:</t>
  </si>
  <si>
    <t>(3) Fund Name:</t>
  </si>
  <si>
    <t>(4) Fund Name:</t>
  </si>
  <si>
    <t>(5) Fund Name:</t>
  </si>
  <si>
    <t>Beginning Amount</t>
  </si>
  <si>
    <t xml:space="preserve">of </t>
  </si>
  <si>
    <t>Outstanding</t>
  </si>
  <si>
    <t>Retirement</t>
  </si>
  <si>
    <t xml:space="preserve">Total Other </t>
  </si>
  <si>
    <t>Transfers</t>
  </si>
  <si>
    <t>Amount for</t>
  </si>
  <si>
    <t>Authorized by</t>
  </si>
  <si>
    <t>From:</t>
  </si>
  <si>
    <t>To:</t>
  </si>
  <si>
    <t xml:space="preserve"> Statute</t>
  </si>
  <si>
    <t>Adjusted Totals</t>
  </si>
  <si>
    <t>Budgeted Funds</t>
  </si>
  <si>
    <t>Non-Budgeted Funds-A</t>
  </si>
  <si>
    <t>Non-Budgeted Funds-B</t>
  </si>
  <si>
    <r>
      <t>**</t>
    </r>
    <r>
      <rPr>
        <b/>
        <u/>
        <sz val="12"/>
        <rFont val="Times New Roman"/>
        <family val="1"/>
      </rPr>
      <t>Note</t>
    </r>
    <r>
      <rPr>
        <sz val="12"/>
        <rFont val="Times New Roman"/>
        <family val="1"/>
      </rPr>
      <t>: The delinquency rate can be up to 5% more than the actual delinquency rate from the previous year.</t>
    </r>
  </si>
  <si>
    <t>Single Non Tax Levy:</t>
  </si>
  <si>
    <t>Non-Budgeted (A):</t>
  </si>
  <si>
    <t>The following were changed to this spreadsheet on 8/06/2007</t>
  </si>
  <si>
    <t>2. All pages have a revision date.</t>
  </si>
  <si>
    <t xml:space="preserve">3. Hard coded the Bond &amp; Interest on Certificate and Summary pages. </t>
  </si>
  <si>
    <t>5. Computation to Determine Limit now has the debts amounts link within the spreadsheet.</t>
  </si>
  <si>
    <t>6. Schedule of Transfers have the transfers totaled and link to the budget summary page.</t>
  </si>
  <si>
    <t>8. Now can key in the official title on the budget summary page.</t>
  </si>
  <si>
    <t xml:space="preserve">9. Now have the indebtedness prior year added to the input page and link with the budget summary page. </t>
  </si>
  <si>
    <t>10. Added three input spaces for League's highway estimates and link to Special Highway page. Included a note about usage to County Road System.</t>
  </si>
  <si>
    <t>12. Changed the Budget Summary Heading to include Actual/Estimate/Proposed with the budget year.</t>
  </si>
  <si>
    <t>13. Changed the delinquency rate formula for all levy funds.</t>
  </si>
  <si>
    <t>15. Using the actual ad valorem rates from the Clerk's information versus from the Certificate page.</t>
  </si>
  <si>
    <r>
      <t>***</t>
    </r>
    <r>
      <rPr>
        <b/>
        <u/>
        <sz val="12"/>
        <rFont val="Times New Roman"/>
        <family val="1"/>
      </rPr>
      <t>Note</t>
    </r>
    <r>
      <rPr>
        <sz val="12"/>
        <rFont val="Times New Roman"/>
        <family val="1"/>
      </rPr>
      <t xml:space="preserve">:  Only used when a portion of the County monies are distributed to the Cities under the provisions of                                              </t>
    </r>
  </si>
  <si>
    <t xml:space="preserve">        K.S.A. 79-3425c</t>
  </si>
  <si>
    <t>18. Add total section for Schedule of Transfers and linked the total to the Budget Summary page.</t>
  </si>
  <si>
    <t>19. Added column to show when debt retired on the Indebtedness page.</t>
  </si>
  <si>
    <t>20. Special Highway page added line for County Transfer Gas and linked adjustment for prior and county transfer gas from the input page (inputoth).</t>
  </si>
  <si>
    <t>Fund name for all other funds with a tax levy:</t>
  </si>
  <si>
    <t xml:space="preserve">The input for the following comes directly from </t>
  </si>
  <si>
    <t>**</t>
  </si>
  <si>
    <t>**Note: These two block figures should agree.</t>
  </si>
  <si>
    <t>1. instruction were changed: POC change from Roger to armunis, got rid about us providing disk, took the input page and split to input prior budget information and input other, with more in-depth of forms and fund page, and more in-depth on the budget summary page.</t>
  </si>
  <si>
    <t xml:space="preserve">4.  All dates on the spreadsheet are controlled from input on the input Prior Year page. </t>
  </si>
  <si>
    <t>14. Changed the Certificate page so the county name flows instead of having unneeded spaces.</t>
  </si>
  <si>
    <t>16. Delinquency rate for actual for 3 decimal and note that rate can be up to 5% over the actual rate.</t>
  </si>
  <si>
    <t>17. Computation to Determine Limit changed the note on bottom to include publish ordinance and attach the published ordinance to the budget.</t>
  </si>
  <si>
    <t>Outstanding Indebtedness, January 1:</t>
  </si>
  <si>
    <t>Attest: _____________________,</t>
  </si>
  <si>
    <t>7. Added four single pages for no tax levy fund page.</t>
  </si>
  <si>
    <t>County Transfers Gas</t>
  </si>
  <si>
    <t>Funds</t>
  </si>
  <si>
    <t>Budget Authority</t>
  </si>
  <si>
    <t xml:space="preserve">expenditure amounts should reflect the amended </t>
  </si>
  <si>
    <t>expenditure amounts.</t>
  </si>
  <si>
    <t>Miscellaneous</t>
  </si>
  <si>
    <t>Neighborhood Revitalization Rebate</t>
  </si>
  <si>
    <t>Cash Balance Jan 1</t>
  </si>
  <si>
    <t xml:space="preserve">Employee Benefits </t>
  </si>
  <si>
    <t>22. Added note on non-budgeted fund pages to ensure the amounts agree.</t>
  </si>
  <si>
    <t>21. Added four single no levy fund pages and 2 non-budgeted pages.</t>
  </si>
  <si>
    <t>23. Added to instructions about non-appropriated funds limit of 5%.</t>
  </si>
  <si>
    <t>24. Added warning "Exceeds 5%" on all fund pages for the non-appropriated balance.</t>
  </si>
  <si>
    <t>25. Added Neighborhood Revitalization table with and added links to all tax levy fund pages.</t>
  </si>
  <si>
    <t>26. Added to the instructions about neighborhood revitalization.</t>
  </si>
  <si>
    <t>27. Added Slider to the Vehicle Allocation table and linked to fund pages.</t>
  </si>
  <si>
    <t>28. Added to all budgeted fund pages the budget authority for the actual year, budget violation, and cash violation.</t>
  </si>
  <si>
    <t>29. Added instruction on the addition for item 29.</t>
  </si>
  <si>
    <t>30. Added miscellaneous category to receipt/expenditure on all fund pages and set up violation statement.</t>
  </si>
  <si>
    <t>31. Added instruction on the miscellaneous on how to clear the statement.</t>
  </si>
  <si>
    <t>32. Added block on the certificate page for page number of neighborhood revit.</t>
  </si>
  <si>
    <t>33. Change Certificate page total for mil rate from 0 to blank.</t>
  </si>
  <si>
    <t>35. Added 'excluding oil, gas, and mobile homes' to lines 8 and 14 on Clerks budget info on tab inputoth.</t>
  </si>
  <si>
    <t>34. Expanded on the preparation of budget note 11 for instructions for the Notice of Budget Hearing.</t>
  </si>
  <si>
    <t>The following were changed to this spreadsheet on 5/08/2008</t>
  </si>
  <si>
    <r>
      <t>1. On both the Non-Budgeted Funds forms changed from 'Only the actual budget year shown' to read '</t>
    </r>
    <r>
      <rPr>
        <i/>
        <sz val="12"/>
        <rFont val="Times New Roman"/>
        <family val="1"/>
      </rPr>
      <t>Only the actual budget year for YYYY is to be shown</t>
    </r>
    <r>
      <rPr>
        <sz val="12"/>
        <rFont val="Times New Roman"/>
        <family val="1"/>
      </rPr>
      <t>'.</t>
    </r>
  </si>
  <si>
    <t>2. Change Legend #34 from 'note 10' to 'note 11'.</t>
  </si>
  <si>
    <t>4. The page revision dates were changed.</t>
  </si>
  <si>
    <t>3. Instruction page #9a change from 'shown be shown' to read 'should be shown'.</t>
  </si>
  <si>
    <t>The following were changed to this spreadsheet on 6/16/08</t>
  </si>
  <si>
    <t>1. On 'inputPrYr'  tax levy column 'D' total on line 71 change to add line 59 - 70 versus 59-64.</t>
  </si>
  <si>
    <t>Debt Service</t>
  </si>
  <si>
    <r>
      <t>3a. Made the total expenditures block for the actual and current year to turn '</t>
    </r>
    <r>
      <rPr>
        <sz val="12"/>
        <color indexed="10"/>
        <rFont val="Times New Roman"/>
        <family val="1"/>
      </rPr>
      <t>Red</t>
    </r>
    <r>
      <rPr>
        <sz val="12"/>
        <rFont val="Times New Roman"/>
        <family val="1"/>
      </rPr>
      <t>' if violation occurs.</t>
    </r>
  </si>
  <si>
    <t>(Note: Should agree with general sub-totals.)</t>
  </si>
  <si>
    <t>General Fund - Detail Expenditures</t>
  </si>
  <si>
    <t>1. Input tab (inputPrYr) added column for the current year expenditures.</t>
  </si>
  <si>
    <t>2. Statement of Indebtedness (debt) added lines to all categories.</t>
  </si>
  <si>
    <t xml:space="preserve">3. All tax levy funds and no tax levy funds fund pages made the following changes: </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</si>
  <si>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</si>
  <si>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</si>
  <si>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abbrivated the non-appropriated, total expenditures/non-appropriated, and delinquency computation rate.</t>
  </si>
  <si>
    <r>
      <t xml:space="preserve">5. Special Highway and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</si>
  <si>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 xml:space="preserve">7. Instruction page have changed all reference for Bond &amp; Interest to Debt Service. </t>
  </si>
  <si>
    <t>7a. Added 4a to explain about no-fund warrants and temporary notes can be added to the debt service on the Computation to Determine Levy Limit.</t>
  </si>
  <si>
    <t>7b. Added 9d to explain more about the debt service fund page can included for debts.</t>
  </si>
  <si>
    <t>10. Changed the Bond &amp; Interest tab (B&amp;I) to Debt Service tab (DebtService).</t>
  </si>
  <si>
    <t>11. Changed the revised date on all pages changed.</t>
  </si>
  <si>
    <t>The following were changed to this spreadsheet on 8/14/08</t>
  </si>
  <si>
    <t>6. Neighborhood Revitalization (nhood) made the estimate rebate round the figures to whole dollars.</t>
  </si>
  <si>
    <t>8. Added to the instruction page lines 10a - 10c to provide a little more insight for the Neighborhood Revitalization rebate.</t>
  </si>
  <si>
    <t>The following were changed to this spreadsheet on 7/01/08</t>
  </si>
  <si>
    <t>1. Added instructions to 9f for the NonBudA and NonBudB tabs explaining about negative cash balance.</t>
  </si>
  <si>
    <t>2. Changed the formula for unencumbered cash balances for NonBudA and NonBudB to show a negative balance.</t>
  </si>
  <si>
    <t>3. Added box under unencumbered cash balance for NonBudA and NonBudB to reflect a negative ending cash balance.</t>
  </si>
  <si>
    <t>4. Changed foot note to reflect the changes maded on 7/1/08 to the above tabs.</t>
  </si>
  <si>
    <t xml:space="preserve">Ad Valorem Tax </t>
  </si>
  <si>
    <t>11. Added Neighborhood Revitalization, LAVTR, City and County Revenue Sharing, and Slider to the input page and to the General Fund page. And added NR to all tax levy fund pages.</t>
  </si>
  <si>
    <t>Fund Names:</t>
  </si>
  <si>
    <t>Statute</t>
  </si>
  <si>
    <t>General</t>
  </si>
  <si>
    <t>Total</t>
  </si>
  <si>
    <t>Motor Vehicle Tax Estimate</t>
  </si>
  <si>
    <t>Recreational Vehicle Tax Estimate</t>
  </si>
  <si>
    <t>certify that: (1) the hearing mentioned in the attached publication was held;</t>
  </si>
  <si>
    <t>The following were changed to this spreadsheet on 2/23/09</t>
  </si>
  <si>
    <t>1. Instruction under Submitting of Budget ….required electronic submission.</t>
  </si>
  <si>
    <t>2. Input other tab line 57 change from Budget Summary to Budget Certificate.</t>
  </si>
  <si>
    <t>1. Mvalloc tab, change table reference for each cell from 'D' to 'E'</t>
  </si>
  <si>
    <t xml:space="preserve">2. Levy page 9 tab, merged cells c17, e17, c52, and e52 </t>
  </si>
  <si>
    <t>3. Levy page 10 tab, merged cells, c17, e17, c53, and e53</t>
  </si>
  <si>
    <t>4. Summ tab, changed Less: Transfer cell D26 to 28 and E26 to 28</t>
  </si>
  <si>
    <r>
      <rPr>
        <sz val="12"/>
        <color indexed="10"/>
        <rFont val="Times New Roman"/>
        <family val="1"/>
      </rPr>
      <t>*</t>
    </r>
    <r>
      <rPr>
        <sz val="12"/>
        <rFont val="Times New Roman"/>
        <family val="1"/>
      </rPr>
      <t>Expenditures</t>
    </r>
    <r>
      <rPr>
        <sz val="12"/>
        <color indexed="10"/>
        <rFont val="Times New Roman"/>
        <family val="1"/>
      </rPr>
      <t>*</t>
    </r>
  </si>
  <si>
    <r>
      <rPr>
        <b/>
        <sz val="12"/>
        <color indexed="10"/>
        <rFont val="Times New Roman"/>
        <family val="1"/>
      </rPr>
      <t>*</t>
    </r>
    <r>
      <rPr>
        <b/>
        <sz val="12"/>
        <rFont val="Times New Roman"/>
        <family val="1"/>
      </rPr>
      <t>If amended, then use the amended figures.</t>
    </r>
    <r>
      <rPr>
        <b/>
        <sz val="12"/>
        <color indexed="10"/>
        <rFont val="Times New Roman"/>
        <family val="1"/>
      </rPr>
      <t>*</t>
    </r>
  </si>
  <si>
    <t>Transfers - Cities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</si>
  <si>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</si>
  <si>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 xml:space="preserve">12-110d.  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</si>
  <si>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K.S.A. 12-1,117</t>
    </r>
    <r>
      <rPr>
        <sz val="12"/>
        <rFont val="Times New Roman"/>
        <family val="1"/>
      </rPr>
      <t>.</t>
    </r>
    <r>
      <rPr>
        <b/>
        <sz val="12"/>
        <rFont val="Times New Roman"/>
        <family val="1"/>
      </rPr>
      <t xml:space="preserve">  Transfer to equipment reserve fund.</t>
    </r>
    <r>
      <rPr>
        <sz val="12"/>
        <rFont val="Times New Roman"/>
        <family val="1"/>
      </rPr>
      <t xml:space="preserve">  T</t>
    </r>
    <r>
      <rPr>
        <sz val="12"/>
        <color indexed="8"/>
        <rFont val="Times New Roman"/>
        <family val="1"/>
      </rPr>
      <t xml:space="preserve">o finance new and replacement equipment moneys may be budgeted and transferred to an equipment reserve fund from any source which may be lawfully utilized for such purposes. </t>
    </r>
  </si>
  <si>
    <r>
      <t>K.S.A. 12-1,118</t>
    </r>
    <r>
      <rPr>
        <sz val="12"/>
        <rFont val="Times New Roman"/>
        <family val="1"/>
      </rPr>
      <t>.</t>
    </r>
    <r>
      <rPr>
        <b/>
        <sz val="12"/>
        <rFont val="Times New Roman"/>
        <family val="1"/>
      </rPr>
      <t xml:space="preserve">  Transfer to capital improvements fund.</t>
    </r>
    <r>
      <rPr>
        <sz val="12"/>
        <rFont val="Times New Roman"/>
        <family val="1"/>
      </rPr>
      <t xml:space="preserve">  Authorizes transfers </t>
    </r>
    <r>
      <rPr>
        <sz val="12"/>
        <color indexed="8"/>
        <rFont val="Times New Roman"/>
        <family val="1"/>
      </rPr>
      <t>to the capital improvements fund</t>
    </r>
    <r>
      <rPr>
        <sz val="12"/>
        <rFont val="Times New Roman"/>
        <family val="1"/>
      </rPr>
      <t xml:space="preserve"> from the general fund and </t>
    </r>
    <r>
      <rPr>
        <sz val="12"/>
        <color indexed="8"/>
        <rFont val="Times New Roman"/>
        <family val="1"/>
      </rPr>
      <t>from other city funds lawfully available for improvement purposes.</t>
    </r>
  </si>
  <si>
    <r>
      <t>K.S.A. 12-1,119</t>
    </r>
    <r>
      <rPr>
        <sz val="12"/>
        <rFont val="Times New Roman"/>
        <family val="1"/>
      </rPr>
      <t>.</t>
    </r>
    <r>
      <rPr>
        <b/>
        <sz val="12"/>
        <rFont val="Times New Roman"/>
        <family val="1"/>
      </rPr>
      <t xml:space="preserve">  Transfer to street and highway fund.</t>
    </r>
    <r>
      <rPr>
        <sz val="12"/>
        <rFont val="Times New Roman"/>
        <family val="1"/>
      </rPr>
      <t xml:space="preserve">  M</t>
    </r>
    <r>
      <rPr>
        <sz val="12"/>
        <color indexed="8"/>
        <rFont val="Times New Roman"/>
        <family val="1"/>
      </rPr>
      <t>oneys in the general or other operating funds of the city budgeted for street and highway purposes may be transferred of to the consolidated street and highway fund.</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</si>
  <si>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</si>
  <si>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</si>
  <si>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1"/>
        <color indexed="8"/>
        <rFont val="Times New Roman"/>
        <family val="1"/>
      </rPr>
      <t>12-6a16.</t>
    </r>
    <r>
      <rPr>
        <sz val="11"/>
        <color indexed="8"/>
        <rFont val="Times New Roman"/>
        <family val="1"/>
      </rPr>
      <t xml:space="preserve">  </t>
    </r>
    <r>
      <rPr>
        <b/>
        <sz val="11"/>
        <color indexed="8"/>
        <rFont val="Times New Roman"/>
        <family val="1"/>
      </rPr>
      <t>Transfer from fund for special improvements.</t>
    </r>
    <r>
      <rPr>
        <sz val="11"/>
        <color indexed="8"/>
        <rFont val="Times New Roman"/>
        <family val="1"/>
      </rPr>
      <t xml:space="preserve">  Authorizes a separate fund for each improvement or combination of improvements to be credited with the proceeds from sale of bonds and temporary notes and any other moneys appropriated thereto, and upon completion of the improvement the balance, if any, shall be transferred and credited to the city bond and interest fund.</t>
    </r>
  </si>
  <si>
    <r>
      <t>K.S.A. 12-825d</t>
    </r>
    <r>
      <rPr>
        <sz val="12"/>
        <rFont val="Times New Roman"/>
        <family val="1"/>
      </rPr>
      <t>.</t>
    </r>
    <r>
      <rPr>
        <b/>
        <sz val="12"/>
        <rFont val="Times New Roman"/>
        <family val="1"/>
      </rPr>
      <t xml:space="preserve">  Transfer from utility fund.</t>
    </r>
    <r>
      <rPr>
        <sz val="12"/>
        <rFont val="Times New Roman"/>
        <family val="1"/>
      </rPr>
      <t xml:space="preserve">  Surplus </t>
    </r>
    <r>
      <rPr>
        <sz val="12"/>
        <color indexed="8"/>
        <rFont val="Times New Roman"/>
        <family val="1"/>
      </rPr>
      <t>revenue derived from a utility may be transferred to the general fund or any other fund or such surplus, in whole or in part, may be set aside in a depreciation reserve fund of the utility.</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</si>
  <si>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</si>
  <si>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12-2615</t>
    </r>
    <r>
      <rPr>
        <sz val="12"/>
        <color indexed="8"/>
        <rFont val="Times New Roman"/>
        <family val="1"/>
      </rPr>
      <t>.</t>
    </r>
    <r>
      <rPr>
        <b/>
        <sz val="12"/>
        <color indexed="8"/>
        <rFont val="Times New Roman"/>
        <family val="1"/>
      </rPr>
      <t xml:space="preserve">  Transfer to risk management reserve fund.</t>
    </r>
    <r>
      <rPr>
        <sz val="12"/>
        <color indexed="8"/>
        <rFont val="Times New Roman"/>
        <family val="1"/>
      </rPr>
      <t xml:space="preserve">  To cover costs relating to any uninsured loss moneys may be paid into a risk management reserve fund or special reserve fund from any source which may be utilized for such purposes, including transfers from the general fund, in reasonable proportion to the estimated cost of self insuring the risk losses covered by such funds. </t>
    </r>
  </si>
  <si>
    <r>
      <t xml:space="preserve">K.S.A. </t>
    </r>
    <r>
      <rPr>
        <b/>
        <sz val="12"/>
        <color indexed="8"/>
        <rFont val="Times New Roman"/>
        <family val="1"/>
      </rPr>
      <t>14-2004</t>
    </r>
    <r>
      <rPr>
        <sz val="12"/>
        <color indexed="8"/>
        <rFont val="Times New Roman"/>
        <family val="1"/>
      </rPr>
      <t>.</t>
    </r>
    <r>
      <rPr>
        <b/>
        <sz val="12"/>
        <color indexed="8"/>
        <rFont val="Times New Roman"/>
        <family val="1"/>
      </rPr>
      <t xml:space="preserve">  Transfer by certain cities to a park land acquisition fund.</t>
    </r>
    <r>
      <rPr>
        <sz val="12"/>
        <color indexed="8"/>
        <rFont val="Times New Roman"/>
        <family val="1"/>
      </rPr>
      <t xml:space="preserve">  Authorizes second class cities with the commission-manager form of government to establish a park land acquisition fund and to transfer up to $5,000 a year from its general fund to such fund to acquire land for park purposes.  Not more than $25,000 shall be accumulated in said fund at any time.</t>
    </r>
  </si>
  <si>
    <r>
      <t xml:space="preserve">K.S.A. </t>
    </r>
    <r>
      <rPr>
        <b/>
        <sz val="12"/>
        <color indexed="8"/>
        <rFont val="Times New Roman"/>
        <family val="1"/>
      </rPr>
      <t>44-505f</t>
    </r>
    <r>
      <rPr>
        <sz val="12"/>
        <color indexed="8"/>
        <rFont val="Times New Roman"/>
        <family val="1"/>
      </rPr>
      <t>.</t>
    </r>
    <r>
      <rPr>
        <b/>
        <sz val="12"/>
        <color indexed="8"/>
        <rFont val="Times New Roman"/>
        <family val="1"/>
      </rPr>
      <t xml:space="preserve">  Transfer to worker’s compensation reserve fund.</t>
    </r>
    <r>
      <rPr>
        <sz val="12"/>
        <color indexed="8"/>
        <rFont val="Times New Roman"/>
        <family val="1"/>
      </rPr>
      <t xml:space="preserve">  Where a city chooses to act as a self-insurer under the worker's compensation act it is authorized to make transfers to a worker’s compensation reserve fund from any other funds in reasonable proportion to the estimated cost of providing benefits to employees compensated from such funds.</t>
    </r>
  </si>
  <si>
    <r>
      <t>K.S.A. 68-141g</t>
    </r>
    <r>
      <rPr>
        <sz val="12"/>
        <color indexed="8"/>
        <rFont val="Times New Roman"/>
        <family val="1"/>
      </rPr>
      <t xml:space="preserve">.  </t>
    </r>
    <r>
      <rPr>
        <b/>
        <sz val="12"/>
        <color indexed="8"/>
        <rFont val="Times New Roman"/>
        <family val="1"/>
      </rPr>
      <t>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</si>
  <si>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68-590.</t>
    </r>
    <r>
      <rPr>
        <sz val="12"/>
        <rFont val="Times New Roman"/>
        <family val="1"/>
      </rPr>
      <t xml:space="preserve"> </t>
    </r>
    <r>
      <rPr>
        <sz val="12"/>
        <color indexed="8"/>
        <rFont val="Times New Roman"/>
        <family val="1"/>
      </rPr>
      <t xml:space="preserve"> </t>
    </r>
    <r>
      <rPr>
        <b/>
        <sz val="12"/>
        <color indexed="8"/>
        <rFont val="Times New Roman"/>
        <family val="1"/>
      </rPr>
      <t>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</si>
  <si>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</si>
  <si>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t>Valuation Factor:</t>
  </si>
  <si>
    <t>Neighborhood Revitalization Subj to Rebate:</t>
  </si>
  <si>
    <t>Neighborhood Revitalization factor:</t>
  </si>
  <si>
    <t>Non-Budgeted Funds - Cities</t>
  </si>
  <si>
    <t>1. Cert tab line 14, added 'If amended….'</t>
  </si>
  <si>
    <t>2. Created TransferStatute tab</t>
  </si>
  <si>
    <t>3. Created NonBudFunds tab</t>
  </si>
  <si>
    <t xml:space="preserve">4. Instructions tab added 6b for the TransferStatute tab
</t>
  </si>
  <si>
    <t>5. Added 'See Tab A-E' for violations</t>
  </si>
  <si>
    <t xml:space="preserve">6. Changed each fund page removing 'Yes' and 'No' replacing with 'See Tab' for possible violation </t>
  </si>
  <si>
    <t>7. Nonbud tab changed Net Violation to July 1</t>
  </si>
  <si>
    <t>8. Instruction tab changed 9i to k for 'See Tab'</t>
  </si>
  <si>
    <t>9. Certificate tab moved the Assisted By: and added more lines for governing body signatures</t>
  </si>
  <si>
    <t>Date:</t>
  </si>
  <si>
    <t>Time:</t>
  </si>
  <si>
    <t>Location:</t>
  </si>
  <si>
    <t>Available at:</t>
  </si>
  <si>
    <t>7:00 PM or 7:00 AM</t>
  </si>
  <si>
    <t>City Hall</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</si>
  <si>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</si>
  <si>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</si>
  <si>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</si>
  <si>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</si>
  <si>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</si>
  <si>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</si>
  <si>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</si>
  <si>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</si>
  <si>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</si>
  <si>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</si>
  <si>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</si>
  <si>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</si>
  <si>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</si>
  <si>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</si>
  <si>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</si>
  <si>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</si>
  <si>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</si>
  <si>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t>Another option is to consider whether your fund shares</t>
  </si>
  <si>
    <t>expenditures with another fund.  For example, your electric</t>
  </si>
  <si>
    <t>and water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</si>
  <si>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</si>
  <si>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</si>
  <si>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</si>
  <si>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</si>
  <si>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</si>
  <si>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</si>
  <si>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</si>
  <si>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</si>
  <si>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</si>
  <si>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</si>
  <si>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</si>
  <si>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</si>
  <si>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</si>
  <si>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</si>
  <si>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</si>
  <si>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</si>
  <si>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</si>
  <si>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</si>
  <si>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</si>
  <si>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</si>
  <si>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</si>
  <si>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</si>
  <si>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</si>
  <si>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</si>
  <si>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</si>
  <si>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</si>
  <si>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</si>
  <si>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</si>
  <si>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</si>
  <si>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</si>
  <si>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</si>
  <si>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</si>
  <si>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</si>
  <si>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</si>
  <si>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</si>
  <si>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</si>
  <si>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</si>
  <si>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</si>
  <si>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</si>
  <si>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</si>
  <si>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</si>
  <si>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</si>
  <si>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</si>
  <si>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</si>
  <si>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</si>
  <si>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</si>
  <si>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</si>
  <si>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</si>
  <si>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</si>
  <si>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</si>
  <si>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</si>
  <si>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</si>
  <si>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</si>
  <si>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</si>
  <si>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</si>
  <si>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</si>
  <si>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</si>
  <si>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</si>
  <si>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</si>
  <si>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</si>
  <si>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</si>
  <si>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</si>
  <si>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</si>
  <si>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</si>
  <si>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</si>
  <si>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</si>
  <si>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</si>
  <si>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</si>
  <si>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</si>
  <si>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</si>
  <si>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</si>
  <si>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</si>
  <si>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</si>
  <si>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</si>
  <si>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</si>
  <si>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</si>
  <si>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</si>
  <si>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</si>
  <si>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</si>
  <si>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</si>
  <si>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</si>
  <si>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</si>
  <si>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</si>
  <si>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</si>
  <si>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</si>
  <si>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</si>
  <si>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</si>
  <si>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</si>
  <si>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</si>
  <si>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</si>
  <si>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</si>
  <si>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</si>
  <si>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</si>
  <si>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</si>
  <si>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</si>
  <si>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</si>
  <si>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</si>
  <si>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</si>
  <si>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</si>
  <si>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</si>
  <si>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</si>
  <si>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</si>
  <si>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</si>
  <si>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</si>
  <si>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</si>
  <si>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</si>
  <si>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</si>
  <si>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</si>
  <si>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</si>
  <si>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</si>
  <si>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</si>
  <si>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</si>
  <si>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</si>
  <si>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</si>
  <si>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</si>
  <si>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</si>
  <si>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</si>
  <si>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</si>
  <si>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</si>
  <si>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</si>
  <si>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</si>
  <si>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</si>
  <si>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</si>
  <si>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</si>
  <si>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</si>
  <si>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</si>
  <si>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</si>
  <si>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</si>
  <si>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</si>
  <si>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</si>
  <si>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</si>
  <si>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</si>
  <si>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</si>
  <si>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</si>
  <si>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</si>
  <si>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</si>
  <si>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</si>
  <si>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</si>
  <si>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</si>
  <si>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</si>
  <si>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</si>
  <si>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</si>
  <si>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</si>
  <si>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</si>
  <si>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</si>
  <si>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</si>
  <si>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</si>
  <si>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</si>
  <si>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</si>
  <si>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</si>
  <si>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</si>
  <si>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</si>
  <si>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</si>
  <si>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</si>
  <si>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</si>
  <si>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</si>
  <si>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</si>
  <si>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</si>
  <si>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</si>
  <si>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</si>
  <si>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</si>
  <si>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</si>
  <si>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</si>
  <si>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</si>
  <si>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</si>
  <si>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</si>
  <si>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</si>
  <si>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</si>
  <si>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</si>
  <si>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</si>
  <si>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</si>
  <si>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</si>
  <si>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</si>
  <si>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</si>
  <si>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</si>
  <si>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</si>
  <si>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</si>
  <si>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</si>
  <si>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</si>
  <si>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</si>
  <si>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</si>
  <si>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</si>
  <si>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</si>
  <si>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</si>
  <si>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1. Instruction tab, added step 3 for 'inputBudSum'</t>
  </si>
  <si>
    <t>2. Added tab 'inputBudSum'</t>
  </si>
  <si>
    <t>3. Changed Budget Summary replacing the green areas for date/time/location so info comes from inputBudSum tab</t>
  </si>
  <si>
    <t>*Note:</t>
  </si>
  <si>
    <t>Expenditure</t>
  </si>
  <si>
    <t xml:space="preserve">Fund Transferred </t>
  </si>
  <si>
    <t>Receipt</t>
  </si>
  <si>
    <t>Fund Transferred</t>
  </si>
  <si>
    <r>
      <t>Adjustments</t>
    </r>
    <r>
      <rPr>
        <b/>
        <sz val="12"/>
        <color indexed="10"/>
        <rFont val="Times New Roman"/>
        <family val="1"/>
      </rPr>
      <t>*</t>
    </r>
  </si>
  <si>
    <t>1. Nhood tab added note for computing table</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</si>
  <si>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</si>
  <si>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</si>
  <si>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</si>
  <si>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We, the undersigned, officers of</t>
  </si>
  <si>
    <t>Non-Appropriated Balance</t>
  </si>
  <si>
    <t>Total Expenditure/Non-Appr Balance</t>
  </si>
  <si>
    <t>Delinquent Comp Rate:</t>
  </si>
  <si>
    <t>Does miscellaneous exceed 10% of Total Exp</t>
  </si>
  <si>
    <t>Does miscellanous exceed 10% of Total Exp</t>
  </si>
  <si>
    <t xml:space="preserve"> Sub-Total detail page </t>
  </si>
  <si>
    <t>Official Title:</t>
  </si>
  <si>
    <t>for Expenditures</t>
  </si>
  <si>
    <t>Desired Carryover Amount:</t>
  </si>
  <si>
    <t>Estimated Mill Rate Impact:</t>
  </si>
  <si>
    <t>City Clerk, City Treasurer, Mayor</t>
  </si>
  <si>
    <t>1. All pages removed the revision date</t>
  </si>
  <si>
    <t>2. All tax levy fund pages reduced the columns and revised the bottom of pages for see tabs</t>
  </si>
  <si>
    <t>3. Instruction tab added lines 4c (cert-rec), 11b (fund-rec), 14(project carryover), 14a (Desired Carryover), and 15 (protection)</t>
  </si>
  <si>
    <t>Helpful Links</t>
  </si>
  <si>
    <t>Municipal Services (Kansas Department of Administration, Accounts and Reports) – Budget forms, confirmation of payments, transfer statutes, non-budgeted fund statutes, etc.</t>
  </si>
  <si>
    <t>State Debt Setoff Program (Kansas Department of Administration, Accounts and Reports) – Passive collection tool to assist municipalities with collection of unpaid utility bills, etc.</t>
  </si>
  <si>
    <t>Kansas Legislature – Kansas Statutes (usually updated in January), House and Senate Bills, etc.</t>
  </si>
  <si>
    <t>Kansas Attorney General Opinions</t>
  </si>
  <si>
    <t>Kansas Department of Revenue</t>
  </si>
  <si>
    <t>Kansas Department of Revenue – Property Valuation</t>
  </si>
  <si>
    <t>Kansas Pooled Money Investment Board – Investment of Idle Funds in the Municipal Investment Pool</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</si>
  <si>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</si>
  <si>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</si>
  <si>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</si>
  <si>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</si>
  <si>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</si>
  <si>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</si>
  <si>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</si>
  <si>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</si>
  <si>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</si>
  <si>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</si>
  <si>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</si>
  <si>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</si>
  <si>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</si>
  <si>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</si>
  <si>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</si>
  <si>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</si>
  <si>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</si>
  <si>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</si>
  <si>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</si>
  <si>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</si>
  <si>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</si>
  <si>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</si>
  <si>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</si>
  <si>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</si>
  <si>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</si>
  <si>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</si>
  <si>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</si>
  <si>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</si>
  <si>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</si>
  <si>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</si>
  <si>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</si>
  <si>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</si>
  <si>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</si>
  <si>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</si>
  <si>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(increase mill rate)</t>
  </si>
  <si>
    <t xml:space="preserve">(value of the home) </t>
  </si>
  <si>
    <t>Second Step:</t>
  </si>
  <si>
    <t>(assessed value)</t>
  </si>
  <si>
    <t xml:space="preserve">(assessed value) </t>
  </si>
  <si>
    <t>(increase tax)</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</si>
  <si>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</si>
  <si>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</si>
  <si>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</si>
  <si>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</si>
  <si>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</si>
  <si>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</si>
  <si>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</si>
  <si>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</si>
  <si>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</si>
  <si>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(value of the home)</t>
  </si>
  <si>
    <t>(residential %)</t>
  </si>
  <si>
    <t>(total mill rate)</t>
  </si>
  <si>
    <t>(impact, total mills)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</si>
  <si>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</si>
  <si>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12-1,117.</t>
    </r>
    <r>
      <rPr>
        <sz val="12"/>
        <color indexed="8"/>
        <rFont val="Times New Roman"/>
        <family val="1"/>
      </rPr>
      <t xml:space="preserve">  E</t>
    </r>
    <r>
      <rPr>
        <b/>
        <sz val="12"/>
        <color indexed="8"/>
        <rFont val="Times New Roman"/>
        <family val="1"/>
      </rPr>
      <t>quipment reserve fund.</t>
    </r>
    <r>
      <rPr>
        <sz val="12"/>
        <color indexed="8"/>
        <rFont val="Times New Roman"/>
        <family val="1"/>
      </rPr>
      <t xml:space="preserve">  Cities may create  an equipment reserve fund to finance the acquisition of equipment.</t>
    </r>
  </si>
  <si>
    <r>
      <t xml:space="preserve">K.S.A. </t>
    </r>
    <r>
      <rPr>
        <b/>
        <sz val="12"/>
        <color indexed="8"/>
        <rFont val="Times New Roman"/>
        <family val="1"/>
      </rPr>
      <t>12-1,118.</t>
    </r>
    <r>
      <rPr>
        <sz val="12"/>
        <color indexed="8"/>
        <rFont val="Times New Roman"/>
        <family val="1"/>
      </rPr>
      <t xml:space="preserve">  </t>
    </r>
    <r>
      <rPr>
        <b/>
        <sz val="12"/>
        <color indexed="8"/>
        <rFont val="Times New Roman"/>
        <family val="1"/>
      </rPr>
      <t>Capital improvement fund.</t>
    </r>
    <r>
      <rPr>
        <sz val="12"/>
        <color indexed="8"/>
        <rFont val="Times New Roman"/>
        <family val="1"/>
      </rPr>
      <t xml:space="preserve">  Cities with an approved a multi-year capital improvement plan may establish a capital improvements fund.</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</si>
  <si>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</si>
  <si>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12-6a13.  Special improvement funds.</t>
    </r>
    <r>
      <rPr>
        <sz val="12"/>
        <color indexed="8"/>
        <rFont val="Times New Roman"/>
        <family val="1"/>
      </rPr>
      <t xml:space="preserve">  Authorizes the creation of a special improvement fund to pay a portion of the debt service on bonds issued, planning costs, and the initial cost of improvements until temporary notes or bonds have been issued and sold.</t>
    </r>
  </si>
  <si>
    <r>
      <t xml:space="preserve">K.S.A. </t>
    </r>
    <r>
      <rPr>
        <b/>
        <sz val="12"/>
        <color indexed="8"/>
        <rFont val="Times New Roman"/>
        <family val="1"/>
      </rPr>
      <t>12-6a16.</t>
    </r>
    <r>
      <rPr>
        <sz val="12"/>
        <color indexed="8"/>
        <rFont val="Times New Roman"/>
        <family val="1"/>
      </rPr>
      <t xml:space="preserve">  </t>
    </r>
    <r>
      <rPr>
        <b/>
        <sz val="12"/>
        <color indexed="8"/>
        <rFont val="Times New Roman"/>
        <family val="1"/>
      </rPr>
      <t>Separate special improvement funds.</t>
    </r>
    <r>
      <rPr>
        <sz val="12"/>
        <color indexed="8"/>
        <rFont val="Times New Roman"/>
        <family val="1"/>
      </rPr>
      <t xml:space="preserve">  Provides that separate, suitably named special improvement funds are to be created for each improvement project or combination of improvement projects.</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</si>
  <si>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</si>
  <si>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12-1674.</t>
    </r>
    <r>
      <rPr>
        <sz val="12"/>
        <color indexed="8"/>
        <rFont val="Times New Roman"/>
        <family val="1"/>
      </rPr>
      <t xml:space="preserve">  </t>
    </r>
    <r>
      <rPr>
        <b/>
        <sz val="12"/>
        <color indexed="8"/>
        <rFont val="Times New Roman"/>
        <family val="1"/>
      </rPr>
      <t>Special services fund.</t>
    </r>
    <r>
      <rPr>
        <sz val="12"/>
        <color indexed="8"/>
        <rFont val="Times New Roman"/>
        <family val="1"/>
      </rPr>
      <t xml:space="preserve">  Cities located in counties designated as urban areas may create a special services fund to be used to pay the initial costs of improvements and for work performed as a result of failure of persons to perform duties prescribed by law or ordinance.</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</si>
  <si>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</si>
  <si>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</si>
  <si>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</si>
  <si>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 xml:space="preserve">12-2615.  Risk management reserve fund. </t>
    </r>
    <r>
      <rPr>
        <sz val="12"/>
        <color indexed="8"/>
        <rFont val="Times New Roman"/>
        <family val="1"/>
      </rPr>
      <t xml:space="preserve"> The governing body of any city or county may pay costs relating to any uninsured loss from a risk management reserve fund.</t>
    </r>
  </si>
  <si>
    <r>
      <t xml:space="preserve">K.S.A. </t>
    </r>
    <r>
      <rPr>
        <b/>
        <sz val="12"/>
        <color indexed="8"/>
        <rFont val="Times New Roman"/>
        <family val="1"/>
      </rPr>
      <t>13-10,140.</t>
    </r>
    <r>
      <rPr>
        <sz val="12"/>
        <color indexed="8"/>
        <rFont val="Times New Roman"/>
        <family val="1"/>
      </rPr>
      <t xml:space="preserve">  </t>
    </r>
    <r>
      <rPr>
        <b/>
        <sz val="12"/>
        <color indexed="8"/>
        <rFont val="Times New Roman"/>
        <family val="1"/>
      </rPr>
      <t>Special improvement fund (commission form of government; population more than 150,000 and less than 200,000).</t>
    </r>
    <r>
      <rPr>
        <sz val="12"/>
        <color indexed="8"/>
        <rFont val="Times New Roman"/>
        <family val="1"/>
      </rPr>
      <t xml:space="preserve">  Authorizes certain cities operating under the commission form of government to a special improvement fund to pay the preliminary cost of any improvement to be financed by special assessments or general obligation bonds.</t>
    </r>
  </si>
  <si>
    <r>
      <t xml:space="preserve">K.S.A. </t>
    </r>
    <r>
      <rPr>
        <b/>
        <sz val="12"/>
        <color indexed="8"/>
        <rFont val="Times New Roman"/>
        <family val="1"/>
      </rPr>
      <t>13-14b12.</t>
    </r>
    <r>
      <rPr>
        <sz val="12"/>
        <color indexed="8"/>
        <rFont val="Times New Roman"/>
        <family val="1"/>
      </rPr>
      <t xml:space="preserve">  </t>
    </r>
    <r>
      <rPr>
        <b/>
        <sz val="12"/>
        <color indexed="8"/>
        <rFont val="Times New Roman"/>
        <family val="1"/>
      </rPr>
      <t>Hospital special improvement fund.</t>
    </r>
    <r>
      <rPr>
        <sz val="12"/>
        <color indexed="8"/>
        <rFont val="Times New Roman"/>
        <family val="1"/>
      </rPr>
      <t xml:space="preserve">  Provides for creation of a special improvement fund for the purpose of equipping, operating, maintaining and improving such hospital and to pay a portion of the debt service on bonds.</t>
    </r>
  </si>
  <si>
    <r>
      <t xml:space="preserve">K.S.A. </t>
    </r>
    <r>
      <rPr>
        <b/>
        <sz val="12"/>
        <color indexed="8"/>
        <rFont val="Times New Roman"/>
        <family val="1"/>
      </rPr>
      <t>14-2004.</t>
    </r>
    <r>
      <rPr>
        <sz val="12"/>
        <color indexed="8"/>
        <rFont val="Times New Roman"/>
        <family val="1"/>
      </rPr>
      <t xml:space="preserve">  P</t>
    </r>
    <r>
      <rPr>
        <b/>
        <sz val="12"/>
        <color indexed="8"/>
        <rFont val="Times New Roman"/>
        <family val="1"/>
      </rPr>
      <t>ark land acquisition fund (commission-manager cities).</t>
    </r>
    <r>
      <rPr>
        <sz val="12"/>
        <color indexed="8"/>
        <rFont val="Times New Roman"/>
        <family val="1"/>
      </rPr>
      <t xml:space="preserve">  Authorizes certain cities operating under the commission-manager form of government to establish a park land acquisition fund.</t>
    </r>
  </si>
  <si>
    <r>
      <t xml:space="preserve">K.S.A. </t>
    </r>
    <r>
      <rPr>
        <b/>
        <sz val="12"/>
        <color indexed="8"/>
        <rFont val="Times New Roman"/>
        <family val="1"/>
      </rPr>
      <t>44-505f.</t>
    </r>
    <r>
      <rPr>
        <sz val="12"/>
        <color indexed="8"/>
        <rFont val="Times New Roman"/>
        <family val="1"/>
      </rPr>
      <t xml:space="preserve">  </t>
    </r>
    <r>
      <rPr>
        <b/>
        <sz val="12"/>
        <color indexed="8"/>
        <rFont val="Times New Roman"/>
        <family val="1"/>
      </rPr>
      <t>Workers’ compensation reserve fund.</t>
    </r>
    <r>
      <rPr>
        <sz val="12"/>
        <color indexed="8"/>
        <rFont val="Times New Roman"/>
        <family val="1"/>
      </rPr>
      <t xml:space="preserve">  Provides for the creation of a reserve fund for the payment of workmen's compensation claims, judgments, and expenses.</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</si>
  <si>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</si>
  <si>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68-590.</t>
    </r>
    <r>
      <rPr>
        <sz val="12"/>
        <color indexed="8"/>
        <rFont val="Times New Roman"/>
        <family val="1"/>
      </rPr>
      <t xml:space="preserve">   </t>
    </r>
    <r>
      <rPr>
        <b/>
        <sz val="12"/>
        <color indexed="8"/>
        <rFont val="Times New Roman"/>
        <family val="1"/>
      </rPr>
      <t>Special highway improvement fund.</t>
    </r>
    <r>
      <rPr>
        <sz val="12"/>
        <color indexed="8"/>
        <rFont val="Times New Roman"/>
        <family val="1"/>
      </rPr>
      <t xml:space="preserve">  Cities and counties may create a special highway improvement fund and transfer to it annually up to 25% of the fund for roads, bridges, highways, or streets.</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</si>
  <si>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</si>
  <si>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</si>
  <si>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79-1950b.</t>
    </r>
    <r>
      <rPr>
        <sz val="12"/>
        <color indexed="8"/>
        <rFont val="Times New Roman"/>
        <family val="1"/>
      </rPr>
      <t xml:space="preserve">  </t>
    </r>
    <r>
      <rPr>
        <b/>
        <sz val="12"/>
        <color indexed="8"/>
        <rFont val="Times New Roman"/>
        <family val="1"/>
      </rPr>
      <t>Special improvement fund (cities of more than 200,000).</t>
    </r>
    <r>
      <rPr>
        <sz val="12"/>
        <color indexed="8"/>
        <rFont val="Times New Roman"/>
        <family val="1"/>
      </rPr>
      <t xml:space="preserve">  Certain cities of the first class are authorized to create a special improvement fund from which preliminary costs associated with such improvements may be paid.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</si>
  <si>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Cities may create non-budgeted funds for any gifts or bequests, a revolving fund for the operation of a municipal airport, and for repair, replacement, or addition to recreation facilities.</t>
    </r>
  </si>
  <si>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</si>
  <si>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</si>
  <si>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 xml:space="preserve">K.S.A. </t>
    </r>
    <r>
      <rPr>
        <b/>
        <sz val="12"/>
        <color indexed="8"/>
        <rFont val="Times New Roman"/>
        <family val="1"/>
      </rPr>
      <t>13-1269.</t>
    </r>
    <r>
      <rPr>
        <sz val="12"/>
        <color indexed="8"/>
        <rFont val="Times New Roman"/>
        <family val="1"/>
      </rPr>
      <t xml:space="preserve">  </t>
    </r>
    <r>
      <rPr>
        <b/>
        <sz val="12"/>
        <color indexed="8"/>
        <rFont val="Times New Roman"/>
        <family val="1"/>
      </rPr>
      <t>Transfer from certain utility funds by cities over 100,000.</t>
    </r>
    <r>
      <rPr>
        <sz val="12"/>
        <color indexed="8"/>
        <rFont val="Times New Roman"/>
        <family val="1"/>
      </rPr>
      <t xml:space="preserve">  Authorizes transfers to governmental operating funds from operating revenue of electric-light and water utilities.  Utilities must not have GO bond debt; or, if GO bond debt exists, debt service fund must be adequately capitalized.  Limitations per K.S.A. 13-1271, 13-1272 on amounts that may be transferred.</t>
    </r>
  </si>
  <si>
    <r>
      <t xml:space="preserve">K.S.A. </t>
    </r>
    <r>
      <rPr>
        <b/>
        <sz val="12"/>
        <color indexed="8"/>
        <rFont val="Times New Roman"/>
        <family val="1"/>
      </rPr>
      <t>13-1270.</t>
    </r>
    <r>
      <rPr>
        <sz val="12"/>
        <color indexed="8"/>
        <rFont val="Times New Roman"/>
        <family val="1"/>
      </rPr>
      <t xml:space="preserve">  </t>
    </r>
    <r>
      <rPr>
        <b/>
        <sz val="12"/>
        <color indexed="8"/>
        <rFont val="Times New Roman"/>
        <family val="1"/>
      </rPr>
      <t>Transfer to debt service fund from certain utility funds by cities over 100,000.</t>
    </r>
    <r>
      <rPr>
        <sz val="12"/>
        <color indexed="8"/>
        <rFont val="Times New Roman"/>
        <family val="1"/>
      </rPr>
      <t xml:space="preserve">  Cities with more than 100,000 in population may transfer operating revenue of  electric-light and water utilities to debt service funds moneys sufficient to pay outstanding general obligation bond principal and interest.</t>
    </r>
  </si>
  <si>
    <r>
      <t xml:space="preserve">K.S.A. </t>
    </r>
    <r>
      <rPr>
        <b/>
        <sz val="12"/>
        <color indexed="8"/>
        <rFont val="Times New Roman"/>
        <family val="1"/>
      </rPr>
      <t>13-14b12.  Transfer to hospital special improvement fund.</t>
    </r>
    <r>
      <rPr>
        <sz val="12"/>
        <color indexed="8"/>
        <rFont val="Times New Roman"/>
        <family val="1"/>
      </rPr>
      <t xml:space="preserve">  The board may transfer annually such amounts as it deems advisable to a special improvement fund to be used for the purpose of purchasing major items of equipment and making capital improvements to the hospital.  The amount on hand in such fund shall at no time exceed [$250,000].</t>
    </r>
  </si>
  <si>
    <t>The estimated value of one mill would be:</t>
  </si>
  <si>
    <t>Change in Ad Valorem Tax Revenue:</t>
  </si>
  <si>
    <t>What Mill Rate Would Be Desired?</t>
  </si>
  <si>
    <t xml:space="preserve">Totals </t>
  </si>
  <si>
    <t>4. Certificate tab change the 'Expenditure' heading by adding  'Budget Authority for Expenditures'</t>
  </si>
  <si>
    <t xml:space="preserve">5. Certificate tab added additional lines for the governing body signatures </t>
  </si>
  <si>
    <t>6. Certificate tab add the year in the block for 'County Clerk Use Only'</t>
  </si>
  <si>
    <t>7. Certificate tab moved the 'County Clerk's Use Only' from center to right</t>
  </si>
  <si>
    <t>8. Debt tab expand the 'Date' columns and removed two lines from the 'Other Section'</t>
  </si>
  <si>
    <t>9. Gen tab added revenue line for 'Compensation Use'</t>
  </si>
  <si>
    <t>10. Gen tab added table for 'Projection of Cash Carryover'</t>
  </si>
  <si>
    <t>11. Gen tab added table for 'Desired Carryover'</t>
  </si>
  <si>
    <t>12. Gen tab redefine print que to not include tables</t>
  </si>
  <si>
    <t>13. Gen tab hid the comp for see tabs</t>
  </si>
  <si>
    <t>14. DebtService tab reduced the Debt Service fund page and added the Recreation fund</t>
  </si>
  <si>
    <t>15. DebtService tab added table for 'Projected Carryover'</t>
  </si>
  <si>
    <t>16. DebtService tab redefine print que and hid comp for see tabs</t>
  </si>
  <si>
    <t>17. Levy page9 to page13 tab hid comp for see tabs</t>
  </si>
  <si>
    <t>18. Summ tab merged cells above the 'City Official Title' and center a name if used</t>
  </si>
  <si>
    <t>19. Summ tab link the City Official Title to inputBudSum tab</t>
  </si>
  <si>
    <t>20. Summ tab changed proposed year expenditure column to 'Budget Authority (Includes Carryover)</t>
  </si>
  <si>
    <t>21. Summ tab added four tables to the right of the form</t>
  </si>
  <si>
    <t>22. InputBudSum tab added line for City Official Title and provided an example</t>
  </si>
  <si>
    <t>23. Revised TransferStatutes and NonBudFunds tabs</t>
  </si>
  <si>
    <t>24. Added Mill Rate Computation tab</t>
  </si>
  <si>
    <t>25. Summ tab redefine print que</t>
  </si>
  <si>
    <t>26. Add Helpful Links tab</t>
  </si>
  <si>
    <t>27. Certificate page deleted state block</t>
  </si>
  <si>
    <t>28. Inputoth tab changed the Actual Delinquency tax from -2 to -3</t>
  </si>
  <si>
    <t>Third Step:</t>
  </si>
  <si>
    <t>Result:</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</si>
  <si>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</si>
  <si>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</si>
  <si>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</si>
  <si>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</si>
  <si>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</si>
  <si>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</si>
  <si>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</si>
  <si>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Does miscellaneous exceed 10% Total Rec</t>
  </si>
  <si>
    <t>Does miscellaneous exceed 10% Total Exp</t>
  </si>
  <si>
    <t>1. Summ tab changed proposed year expenditure column to 'Budget Authority for Expenditures'</t>
  </si>
  <si>
    <t xml:space="preserve">1. Changed all tax levy fund pages Budget Authority for actual year as off by 1 </t>
  </si>
  <si>
    <t>1. Tab levy page 11 cell D69 formatting change reference C71 to D71</t>
  </si>
  <si>
    <t>1. Tab mvalloc changed cells C7, D7, and E7 reference to C,D,E19 from 18</t>
  </si>
  <si>
    <t>2. All tax levy fund pages corrected the link between mvalloc tab and vehicle allocation cells</t>
  </si>
  <si>
    <t>12-1220</t>
  </si>
  <si>
    <t>Library</t>
  </si>
  <si>
    <t xml:space="preserve">Amounts used in lieu of </t>
  </si>
  <si>
    <t>Allocation of MVT, RVT, and 16/20M Vehicle Tax</t>
  </si>
  <si>
    <t xml:space="preserve">Prior Year </t>
  </si>
  <si>
    <t>Current Year</t>
  </si>
  <si>
    <t>Proposed Budget</t>
  </si>
  <si>
    <t xml:space="preserve">Current Year </t>
  </si>
  <si>
    <t xml:space="preserve">Proposed Budget </t>
  </si>
  <si>
    <t>Expenditures Must Be Changed by:</t>
  </si>
  <si>
    <t>Delinquency % used in this budget will be shown on all fund pages with a tax levy**</t>
  </si>
  <si>
    <t>WORKSHEET FOR STATE GRANT-IN-AID TO PUBLIC LIBRARIES AND</t>
  </si>
  <si>
    <t>REGIONAL LIBRARY SYSTEMS</t>
  </si>
  <si>
    <t>First test:</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</si>
  <si>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</si>
  <si>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</si>
  <si>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</si>
  <si>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</si>
  <si>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</si>
  <si>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</si>
  <si>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</si>
  <si>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</si>
  <si>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</si>
  <si>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</si>
  <si>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</si>
  <si>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</si>
  <si>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</si>
  <si>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</si>
  <si>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</si>
  <si>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</si>
  <si>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</si>
  <si>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</si>
  <si>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</si>
  <si>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</si>
  <si>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</si>
  <si>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</si>
  <si>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</si>
  <si>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</si>
  <si>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</si>
  <si>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</si>
  <si>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</si>
  <si>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</si>
  <si>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</si>
  <si>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</si>
  <si>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</si>
  <si>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</si>
  <si>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</si>
  <si>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</si>
  <si>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</si>
  <si>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</si>
  <si>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</si>
  <si>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</si>
  <si>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</si>
  <si>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</si>
  <si>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</si>
  <si>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</si>
  <si>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</si>
  <si>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</si>
  <si>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</si>
  <si>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</si>
  <si>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</si>
  <si>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Email:</t>
  </si>
  <si>
    <t xml:space="preserve">Type of </t>
  </si>
  <si>
    <t xml:space="preserve"> Debt</t>
  </si>
  <si>
    <t>Official Name:</t>
  </si>
  <si>
    <r>
      <t>K.S.A. 14-568.  Sewer Fund Surplus Transfers to Sinking Fund and General Fund.</t>
    </r>
    <r>
      <rPr>
        <sz val="12"/>
        <rFont val="Times New Roman"/>
        <family val="1"/>
      </rPr>
      <t xml:space="preserve">  Surplus revenue in the sewer fund it shall be semi-annually transferred to a sinking fund and, when such surplus fund is not needed for operations or bonded indebtedness, it may be transferred to the general fund.</t>
    </r>
  </si>
  <si>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</si>
  <si>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</si>
  <si>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</si>
  <si>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</si>
  <si>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</si>
  <si>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</si>
  <si>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t>1. Instructions tab, added #1c for adjusting ad valorem taxes</t>
  </si>
  <si>
    <t>2. Instructions tab, changed #3 for adding name of official for Budget Summary page</t>
  </si>
  <si>
    <t>3. Instructions tab, added #3b for new max published date on 'inputBudSum' tab</t>
  </si>
  <si>
    <t>4. Instructions tab, changed #6 to remove slider column and computations</t>
  </si>
  <si>
    <t>5. Instructions tab, added #10 for explain about 'Library Grant' tab and Library fund page</t>
  </si>
  <si>
    <t>6. Instructions tab, changed #11 now Debt Service and Library funds are on the same tab (hard coded Cert &amp; Summary</t>
  </si>
  <si>
    <t>7. Instructions tab, added #11a for numbering of the General and General Detail pages</t>
  </si>
  <si>
    <t>8. Instructions tab, changed #11b to reflect all tax levy pages with 'Projected Carryover' table</t>
  </si>
  <si>
    <t>9. Instructions tab, changed #11c to reflect all tax levy pages with 'Desired Carryover' and warning about delinquency rate</t>
  </si>
  <si>
    <t>10. Instructions tab, added #11d for last year mill rate, proposed total mill rate, and last year total mill rate</t>
  </si>
  <si>
    <t>11. Instructions tab, changed #11e to remove page number 7 as the General page number might change if Library is used</t>
  </si>
  <si>
    <t>12. Instructions tab, changed #12b added name of official</t>
  </si>
  <si>
    <t>13. Instructions tab, added #12c for computation of one mill</t>
  </si>
  <si>
    <t>14. Instructions tab, changed #12d added the name of the tables and warning about delinquency rate if used</t>
  </si>
  <si>
    <t>15. Instructions tab, changed #12e added the name of the table and warning about delinquency rate if used</t>
  </si>
  <si>
    <t>16. Instructions tab, changed #12f added that not signing the Budget Summary page will not require to be reprinted</t>
  </si>
  <si>
    <t xml:space="preserve">17. InputPrYr tab, added column for adjusting ad valorem taxes to reflect a better picture of actual taxes received, allow a rate to be used to compute the new amount, and links the new amounts to the appropriate fund page, if used, otherwise used the original amounts </t>
  </si>
  <si>
    <t>18. InputPrYr tab, hard coded Library in the tax levy funds section along with General and Debt Service</t>
  </si>
  <si>
    <t>19. InputOth tab, section for Computation of Delinquency, change to % from rate and provided example, link to all tax levy fund page will show as %  vs rate</t>
  </si>
  <si>
    <t>20. InputBudSum tab, added official name and latest date for publication of Notice of Budget Hearing</t>
  </si>
  <si>
    <t xml:space="preserve">21. Cert tab, under Table of Content, added Computation to Determine State Library Grant </t>
  </si>
  <si>
    <t>22. Cert tab, right justifyed figures versus having figures centered</t>
  </si>
  <si>
    <t>23. Cert tab, put spaces between governing body signatures block</t>
  </si>
  <si>
    <t>24. Mvalloc tab, removed slider column and computation for slider</t>
  </si>
  <si>
    <t>25. All tax levy fund pages removed the link from Mvalloc tab for slider and converted cells to blank</t>
  </si>
  <si>
    <t xml:space="preserve">26. Debt and Lpform tab added a blank new column at left side and formated 'type of debt' and 'item purchased'  </t>
  </si>
  <si>
    <t>27. All fund pages changed the year column heading, example 'Prior Year Actual' to 'Prior Year' second line 'Actual YYYY'</t>
  </si>
  <si>
    <t xml:space="preserve">28. Change out the 'Mill Rate Computation' tab so to agree with the website </t>
  </si>
  <si>
    <t>29. Added KSA 14-568 to transfer tab</t>
  </si>
  <si>
    <t>30. All tax levy fund pages added 'Mill Rate Comparison' table</t>
  </si>
  <si>
    <t>31. Created new Library Grant tab for determining if the library would be approved for a grant</t>
  </si>
  <si>
    <t>32. Change Debt Svs tab to DebtSvs-Library</t>
  </si>
  <si>
    <t>33. DebtSvs-Library tab, for Library fund page added message for qualify for grant or see Library Grant tab</t>
  </si>
  <si>
    <t>34. Certificate tab added a place for the email address of the assisted by</t>
  </si>
  <si>
    <t>35. General tab, made page number 7 if no library or page number 8 if has library</t>
  </si>
  <si>
    <t>1. Instruction tab, added #4c for new table on Certificate page</t>
  </si>
  <si>
    <t xml:space="preserve">2. Fund page 9, corrected line E36 for forumla </t>
  </si>
  <si>
    <t>1. Library Grant tab, updated State Library e-mail contact address</t>
  </si>
  <si>
    <t>1. Corrected addition computation in column D, inputPrYr tab</t>
  </si>
  <si>
    <t>1.  Added "ordinance required?  yes/no" message to area adjacent to each tax levy fund</t>
  </si>
  <si>
    <t>1.  Corrected formula in cell e28 of Library Grant tab</t>
  </si>
  <si>
    <t>1.  Instruction tab narrative modification</t>
  </si>
  <si>
    <t>1.  "Budget Authority Amount" cell added to budget year column of all funds.</t>
  </si>
  <si>
    <t>The following changes were made to this workbook on 5/7/14</t>
  </si>
  <si>
    <t>1.  Several changes to workbook associated with 2014 HB 2047.</t>
  </si>
  <si>
    <t>The following changes were made to this workbook on 4/3/14</t>
  </si>
  <si>
    <t>The following changes were made to this workbook on 3/21/13</t>
  </si>
  <si>
    <t>The following changes were made to this workbook on 1/31/13</t>
  </si>
  <si>
    <t>The following changes were made to this workbook on 10/8/12</t>
  </si>
  <si>
    <t>The following changes were made to this workbook on 4/10/12</t>
  </si>
  <si>
    <t>The following changes were made to this workbook on 2/22/12</t>
  </si>
  <si>
    <t>The following changes were made to this workbook on 1/31/12</t>
  </si>
  <si>
    <t>The following changes were made to this workbook on 8/16/11</t>
  </si>
  <si>
    <t>The following changes were made to this workbook on 6/17/11</t>
  </si>
  <si>
    <t>The following changes were made to this workbook on 5/26/11</t>
  </si>
  <si>
    <t>The following changes were made to this workbook on 4/29/11</t>
  </si>
  <si>
    <t>The following changes were made to this workbook on 4/19/11</t>
  </si>
  <si>
    <t>The following changes were made to this workbook on 8/22/10</t>
  </si>
  <si>
    <t>The following changes were made to this workbook on 1/05/10</t>
  </si>
  <si>
    <t>The following changes were made to this workbook on 12/28/09</t>
  </si>
  <si>
    <t>The following changes were made to this workbook on 12/08/09</t>
  </si>
  <si>
    <t>The following changes were made to this workbook on 10/2/09</t>
  </si>
  <si>
    <t>The following changes were made to this workbook on 7/16/09</t>
  </si>
  <si>
    <t>The following changes were made to this workbook on 7/9/14</t>
  </si>
  <si>
    <t>1.  Correction to formula in cell j44 of the computation tab worksheet.</t>
  </si>
  <si>
    <t>1.  Update of State Library contact name on library grant tab.</t>
  </si>
  <si>
    <t>The following changes were made to this workbook on 8/7/14</t>
  </si>
  <si>
    <t>Input Sheet for City1 Budget Workbook</t>
  </si>
  <si>
    <t>Enter city name ("City of _____"):</t>
  </si>
  <si>
    <t>Enter county name followed by "County":</t>
  </si>
  <si>
    <t>Enter year being budgeted (YYYY):</t>
  </si>
  <si>
    <t xml:space="preserve">Enter the following information from the sources shown.  This information will flow throughout the budget worksheets to the appropriate locations. </t>
  </si>
  <si>
    <t>Note:  All amounts are to be entered as whole numbers only.</t>
  </si>
  <si>
    <r>
      <rPr>
        <sz val="12"/>
        <color indexed="10"/>
        <rFont val="Times New Roman"/>
        <family val="1"/>
      </rPr>
      <t>Note:</t>
    </r>
    <r>
      <rPr>
        <sz val="12"/>
        <rFont val="Times New Roman"/>
        <family val="1"/>
      </rPr>
      <t xml:space="preserve">  the tool below may be used to create a more realistic estimate of ad valorem taxes to be received in the current year.  Input an estimated delinquency percentage in the green box. This </t>
    </r>
    <r>
      <rPr>
        <sz val="12"/>
        <color indexed="10"/>
        <rFont val="Times New Roman"/>
        <family val="1"/>
      </rPr>
      <t>is not mandatory</t>
    </r>
    <r>
      <rPr>
        <sz val="12"/>
        <rFont val="Times New Roman"/>
        <family val="1"/>
      </rPr>
      <t xml:space="preserve"> and may be left blank.            </t>
    </r>
  </si>
  <si>
    <t>How to Compute the Value of One Mill, and the Impact of Tax Dollars and Assessed Valuation on Mill Rates</t>
  </si>
  <si>
    <t>Commercial Vehicle Tax Estimate</t>
  </si>
  <si>
    <t>Watercraft Tax Estimate</t>
  </si>
  <si>
    <t xml:space="preserve">Ad Valorem Levy </t>
  </si>
  <si>
    <t>County Treas Recreational Vehicle Estimate</t>
  </si>
  <si>
    <t>County Treas 16/20M Vehicle Estimate</t>
  </si>
  <si>
    <t>County Treas Commercial Vehicle Tax Estimate</t>
  </si>
  <si>
    <t>County Treas Watercraft Tax Estimate</t>
  </si>
  <si>
    <t>Commercial Vehicle Factor</t>
  </si>
  <si>
    <t>Watercraft Factor</t>
  </si>
  <si>
    <t>Comm Veh</t>
  </si>
  <si>
    <t>Watercraft</t>
  </si>
  <si>
    <t>Commercial Vehicle Tax</t>
  </si>
  <si>
    <t>Watercraft Tax</t>
  </si>
  <si>
    <t>1.  Various workbook changes associated with commercial vehicle and watercraft tax estimates.</t>
  </si>
  <si>
    <t>The following changes were made to this workbook on 9/23/14</t>
  </si>
  <si>
    <t xml:space="preserve">Allocation of MV, RV, 16/20M, Commercial Vehicle, and Watercraft Tax Estimates </t>
  </si>
  <si>
    <t>The following changes were made to this workbook on 1/21/15</t>
  </si>
  <si>
    <t>2.  Corrected formula in cell d24 of library grant tab.</t>
  </si>
  <si>
    <t>1.  Inserted 2014 CPI percentage on computation tab.</t>
  </si>
  <si>
    <t>1.  Added edits related to adoption of a resolution</t>
  </si>
  <si>
    <t>2.  Added a sample resolution tab</t>
  </si>
  <si>
    <t>3.  Added a third notice of vote option</t>
  </si>
  <si>
    <t>4.  Added to each fund a "cash forward" expenditure line item</t>
  </si>
  <si>
    <t>5.  Added a total tax levy comparison tool adjacent to each tax levy fund</t>
  </si>
  <si>
    <t>The following changes were made to this workbook on 8/31/2015</t>
  </si>
  <si>
    <t>6.  On tax levy funds NR estimate shown as a negative receipt</t>
  </si>
  <si>
    <t>The following changes were made to this workbook on 1/27/2016</t>
  </si>
  <si>
    <t>1.  Inserted 2015 CPI percentage on computation tab.</t>
  </si>
  <si>
    <t>The following changes were made to this workbook on 4/7/2017</t>
  </si>
  <si>
    <t xml:space="preserve">2.  Disabled the Computation tab - Counties and Cities will need to use the HB 2088 Template for the 2018 budgets.  </t>
  </si>
  <si>
    <t xml:space="preserve">1.  Update the Instruction tab with Rico's name and telephone number.  Updated ARMUNIS address.  </t>
  </si>
  <si>
    <t xml:space="preserve">CPA Summary </t>
  </si>
  <si>
    <t>CPA Summary</t>
  </si>
  <si>
    <t>Expiration of Property Tax Abatement</t>
  </si>
  <si>
    <t>The following changes were made to this workbook during April 2018</t>
  </si>
  <si>
    <t>1.  Added CPA Summary Tab</t>
  </si>
  <si>
    <t xml:space="preserve">2.  Added CPA Summary Box to Certification Page and all Fund Pages </t>
  </si>
  <si>
    <t xml:space="preserve">3. Added CPI Percentages on Input Prior Year Tab </t>
  </si>
  <si>
    <t>4. Added Computed Tax Levy Amount on Certification Page and Edit if Election is Required</t>
  </si>
  <si>
    <t>5.  Removed Computation Tab and Inserted Comp1, Comp2, and Comp3 Tabs and Inserted Various Links</t>
  </si>
  <si>
    <t>6.  Changed Megan Schulz email address on Library Grant Tab</t>
  </si>
  <si>
    <t xml:space="preserve">7.  Removed Public Notice Options Tabs 1, 2, and 3 </t>
  </si>
  <si>
    <t xml:space="preserve">8.  Removed Resolution Tab   </t>
  </si>
  <si>
    <t xml:space="preserve">CPA Summary for Assumptions </t>
  </si>
  <si>
    <t>1.  Updated Municipal Services' contact information on the Instruction tab</t>
  </si>
  <si>
    <t xml:space="preserve">2.  Entered 2020 for the budget year and the applicable CPI percentages on the InputPrYr tab </t>
  </si>
  <si>
    <t>3.  Highlighted tab (pages) in blue if the page is to be printed and submitted as part of the budget</t>
  </si>
  <si>
    <t>4.  Added Remodeling and Rennovation to the New Improvements line on the InputOther tab</t>
  </si>
  <si>
    <t>5.  Added Remodeling and Rennovation to the New Improvements line on the Comp1 tab</t>
  </si>
  <si>
    <t>6.  Added Levy for Dissolved Taxing Entity on the Comp3 tab</t>
  </si>
  <si>
    <t>The following changes were made to this workbook during May 2019</t>
  </si>
  <si>
    <t>alice.smith@ks.gov</t>
  </si>
  <si>
    <t>1. CPI Percentages were entered for the 2021 budget year</t>
  </si>
  <si>
    <t xml:space="preserve">2. Combined percentage/revenue adjustment computation for tax lid into "Comp1", added "If/then" statement at bottom of comp tab to direct users on following steps. </t>
  </si>
  <si>
    <t>3. Comp2 is now the other limit determination tests (Property Decline and Lost Valuation)</t>
  </si>
  <si>
    <t>4. Updated the Helpful Links to correct weblinks</t>
  </si>
  <si>
    <t>5. Used format painter to make all pages consistent in color and layout</t>
  </si>
  <si>
    <t>The following changes were made to this workbook during April 2020</t>
  </si>
  <si>
    <t>Revenue Neutral Rate</t>
  </si>
  <si>
    <t>Revenue Neutral Rate**</t>
  </si>
  <si>
    <t>The following changes were made to this workbook during April 2021</t>
  </si>
  <si>
    <t>1. CPI was removed (2021 SB 13)</t>
  </si>
  <si>
    <t>3. Budget Summary Page was updated to include Revenue Neutral Rate (2021 SB 13)</t>
  </si>
  <si>
    <t xml:space="preserve">4. Instructions were adjusted to reflect changes from 2021 SB 13. </t>
  </si>
  <si>
    <t>2. Computed Limit/Tax Lid references and tabs were removed throughout workbook (2021 SB 13)</t>
  </si>
  <si>
    <t>Budget Workbook Instructions</t>
  </si>
  <si>
    <t xml:space="preserve">Please read these instructions carefully.  If after reviewing the instructions you still have questions, contact Municipal Services at 785-296-6033 or 785-296-8083; or via email to armunis@ks.gov. </t>
  </si>
  <si>
    <t xml:space="preserve">Please use the budget workbook that corresponds to the number of funds that are used by your taxing subdivision.  If you do not need all the fund pages in the workbook, leave the page number field on the unused fund pages blank and number the completed fund pages sequentially.  The Certificate page will be updated when the page numbers are entered on the fund pages. </t>
  </si>
  <si>
    <t>Submitting the Budget</t>
  </si>
  <si>
    <r>
      <t xml:space="preserve">As required by KSA 79-1801, budgets without intent to exceed the Revenue Neutral Rate (RNR) are required be certified and submitted to the County Clerk by </t>
    </r>
    <r>
      <rPr>
        <u/>
        <sz val="12"/>
        <rFont val="Times New Roman"/>
        <family val="1"/>
      </rPr>
      <t>August 25th</t>
    </r>
    <r>
      <rPr>
        <sz val="12"/>
        <rFont val="Times New Roman"/>
        <family val="1"/>
      </rPr>
      <t xml:space="preserve"> of each year.  If the taxing subdivision must conduct a hearing to approve exceeding the RNR, the budget must be certified and submitted to the County Clerk by </t>
    </r>
    <r>
      <rPr>
        <u/>
        <sz val="12"/>
        <rFont val="Times New Roman"/>
        <family val="1"/>
      </rPr>
      <t>October 1</t>
    </r>
    <r>
      <rPr>
        <u/>
        <vertAlign val="superscript"/>
        <sz val="12"/>
        <rFont val="Times New Roman"/>
        <family val="1"/>
      </rPr>
      <t>st</t>
    </r>
    <r>
      <rPr>
        <b/>
        <sz val="12"/>
        <rFont val="Times New Roman"/>
        <family val="1"/>
      </rPr>
      <t xml:space="preserve">. </t>
    </r>
  </si>
  <si>
    <t>KSA 79-2930 requires budgets be submitted by electronic means to your County Clerk. Acceptable electronic formats are Microsoft Excel and Adobe PDF.</t>
  </si>
  <si>
    <t>General Instructions</t>
  </si>
  <si>
    <t xml:space="preserve">The worksheet tabs are labeled an abbreviation of the document name.  The worksheet tabs are identified in workbook by referencing the tab name in parentheses. For example, the General Fund reference is (General). </t>
  </si>
  <si>
    <t>All dollar amounts should be recorded in whole dollars (do not include cents).</t>
  </si>
  <si>
    <t xml:space="preserve">      Data should only be entered in the green-shaded cells on the budget worksheets.  </t>
  </si>
  <si>
    <t xml:space="preserve">      The beige-shaded cells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continue to experience problems, please contact Municipal Services for assistance. </t>
  </si>
  <si>
    <t xml:space="preserve">      The blue-shaded cells indicate where the required data input can be located. </t>
  </si>
  <si>
    <t xml:space="preserve">      Red-shaded cells are for notes or indicate a problem area that may need corrective action. </t>
  </si>
  <si>
    <r>
      <t xml:space="preserve">To print the worksheets, you can print one tab at a time or all tabs at once by highlighting the tabs that need to be printed.  </t>
    </r>
    <r>
      <rPr>
        <b/>
        <u/>
        <sz val="12"/>
        <rFont val="Times New Roman"/>
        <family val="1"/>
      </rPr>
      <t>Note</t>
    </r>
    <r>
      <rPr>
        <sz val="12"/>
        <rFont val="Times New Roman"/>
        <family val="1"/>
      </rPr>
      <t xml:space="preserve">: Do not print the instructions, input tabs, statutes, etc.  All tabs that are colored blue should be printed (if applicable) and submitted.  </t>
    </r>
  </si>
  <si>
    <t>Workbook Preparation</t>
  </si>
  <si>
    <t>Before getting started, make sure that you have all documents necessary to retrieve the input information for this year’s budget. For a list of documents to have available, see the “Preparing the Budget – Documents Needed” checklist on the Municipal Services website.</t>
  </si>
  <si>
    <r>
      <t xml:space="preserve">1. </t>
    </r>
    <r>
      <rPr>
        <u/>
        <sz val="12"/>
        <rFont val="Times New Roman"/>
        <family val="1"/>
      </rPr>
      <t>Input Prior Year (inputPrYr)</t>
    </r>
    <r>
      <rPr>
        <sz val="12"/>
        <rFont val="Times New Roman"/>
        <family val="1"/>
      </rPr>
      <t xml:space="preserve">: The information comes directly from last year's budget.  After the information has been entered, please verify the data is correct.  If at a later date, it is determined the information is incorrect, correct the information on this page, </t>
    </r>
    <r>
      <rPr>
        <u/>
        <sz val="12"/>
        <rFont val="Times New Roman"/>
        <family val="1"/>
      </rPr>
      <t>not</t>
    </r>
    <r>
      <rPr>
        <sz val="12"/>
        <rFont val="Times New Roman"/>
        <family val="1"/>
      </rPr>
      <t xml:space="preserve"> the fund page. </t>
    </r>
  </si>
  <si>
    <r>
      <t>a.</t>
    </r>
    <r>
      <rPr>
        <sz val="7"/>
        <rFont val="Times New Roman"/>
        <family val="1"/>
      </rPr>
      <t xml:space="preserve">       </t>
    </r>
    <r>
      <rPr>
        <sz val="12"/>
        <rFont val="Times New Roman"/>
        <family val="1"/>
      </rPr>
      <t>In the green-shaded cell, enter the name of the taxing subdivision. For cities, please include “City of” before the city name.</t>
    </r>
  </si>
  <si>
    <r>
      <t>b.</t>
    </r>
    <r>
      <rPr>
        <sz val="7"/>
        <rFont val="Times New Roman"/>
        <family val="1"/>
      </rPr>
      <t xml:space="preserve">      </t>
    </r>
    <r>
      <rPr>
        <sz val="12"/>
        <rFont val="Times New Roman"/>
        <family val="1"/>
      </rPr>
      <t>Dates for the entire budget workbook are controlled by the year entered into the "Enter year being budgeted (YYYY)" field. This field will be prepopulated. If you find a date that is not correct for the budget being submitted, please contact Municipal Services for assistance.</t>
    </r>
  </si>
  <si>
    <r>
      <t>c.</t>
    </r>
    <r>
      <rPr>
        <sz val="7"/>
        <rFont val="Times New Roman"/>
        <family val="1"/>
      </rPr>
      <t xml:space="preserve">       </t>
    </r>
    <r>
      <rPr>
        <u/>
        <sz val="12"/>
        <rFont val="Times New Roman"/>
        <family val="1"/>
      </rPr>
      <t>Optional</t>
    </r>
    <r>
      <rPr>
        <sz val="12"/>
        <rFont val="Times New Roman"/>
        <family val="1"/>
      </rPr>
      <t>: To the right of the last year Ad Valorem Tax column is a tool that may be used to create an estimate of ad valorem taxes to be received in the current year. Input an estimated delinquency percentage in the green-shaded cell. If you do not wish to use an estimated delinquency percentage, leave the green-shaded field at 0.00%.</t>
    </r>
  </si>
  <si>
    <r>
      <t>d.</t>
    </r>
    <r>
      <rPr>
        <sz val="7"/>
        <rFont val="Times New Roman"/>
        <family val="1"/>
      </rPr>
      <t xml:space="preserve">      </t>
    </r>
    <r>
      <rPr>
        <sz val="12"/>
        <rFont val="Times New Roman"/>
        <family val="1"/>
      </rPr>
      <t>Follow the instruction in the blue-shaded cells to complete the green-shaded input cells applicable to your budget.</t>
    </r>
  </si>
  <si>
    <r>
      <t>2.</t>
    </r>
    <r>
      <rPr>
        <sz val="12"/>
        <rFont val="Times New Roman"/>
        <family val="1"/>
      </rPr>
      <t xml:space="preserve"> </t>
    </r>
    <r>
      <rPr>
        <u/>
        <sz val="12"/>
        <rFont val="Times New Roman"/>
        <family val="1"/>
      </rPr>
      <t>Input Other (inputOth)</t>
    </r>
    <r>
      <rPr>
        <sz val="12"/>
        <rFont val="Times New Roman"/>
        <family val="1"/>
      </rPr>
      <t xml:space="preserve">: The information entered on this tab is obtained from the County Clerk, County Treasurer, Municipal Services website, and the adopted budget information from two years ago (including any amendments).  After the information has been entered, please verify the data is correct. </t>
    </r>
  </si>
  <si>
    <r>
      <t>a.</t>
    </r>
    <r>
      <rPr>
        <sz val="7"/>
        <rFont val="Times New Roman"/>
        <family val="1"/>
      </rPr>
      <t xml:space="preserve">       </t>
    </r>
    <r>
      <rPr>
        <sz val="12"/>
        <rFont val="Times New Roman"/>
        <family val="1"/>
      </rPr>
      <t>Follow instruction in the blue-shaded cells to complete the green-shaded input cells.</t>
    </r>
  </si>
  <si>
    <r>
      <t>b.</t>
    </r>
    <r>
      <rPr>
        <sz val="7"/>
        <rFont val="Times New Roman"/>
        <family val="1"/>
      </rPr>
      <t xml:space="preserve">      </t>
    </r>
    <r>
      <rPr>
        <b/>
        <u/>
        <sz val="12"/>
        <rFont val="Times New Roman"/>
        <family val="1"/>
      </rPr>
      <t>Note</t>
    </r>
    <r>
      <rPr>
        <sz val="12"/>
        <rFont val="Times New Roman"/>
        <family val="1"/>
      </rPr>
      <t>: Computation of Delinquency. This allowance is not mandatory but may be used if the municipality wishes. KSA 79-2930 states that such allowance shall not exceed by more than 5% the percentage of delinquency for the preceding tax year. The delinquency rate will be applied to all tax levy fund pages.</t>
    </r>
  </si>
  <si>
    <t>If the taxing subdivision chooses to use the delinquency rate for some but not all tax levy funds, the taxing subdivision must delete the delinquency rate from the funds that should not include delinquency. Right-click on the tab of the fund that does not require the delinquency rate estimate and select Unprotect Sheet. Delete the data in the Delinquent Comp Rate cell. Right click on the tab of the fund page and select Protect Sheet and OK. You do not need to enter a password in the Protect Sheet window. Select OK. Go to the next fund tab and complete the same steps, if applicable.</t>
  </si>
  <si>
    <r>
      <t>3.</t>
    </r>
    <r>
      <rPr>
        <sz val="12"/>
        <rFont val="Times New Roman"/>
        <family val="1"/>
      </rPr>
      <t xml:space="preserve"> </t>
    </r>
    <r>
      <rPr>
        <u/>
        <sz val="12"/>
        <rFont val="Times New Roman"/>
        <family val="1"/>
      </rPr>
      <t>Input Hearing Information (inputHearing)</t>
    </r>
    <r>
      <rPr>
        <sz val="12"/>
        <rFont val="Times New Roman"/>
        <family val="1"/>
      </rPr>
      <t xml:space="preserve">: The information entered on this tab will populate the public hearing information to the appropriate hearing notice.  Review the available options and based on the taxing subdivision needs and complete the appropriate section(s). </t>
    </r>
  </si>
  <si>
    <r>
      <t xml:space="preserve">NOTE: </t>
    </r>
    <r>
      <rPr>
        <sz val="12"/>
        <rFont val="Times New Roman"/>
        <family val="1"/>
      </rPr>
      <t xml:space="preserve">All taxing subdivisions must publish the summarized budget in order to legally adopt the budget (unless otherwise authorized by law).  To do this, either the “Budget Hearing Notice Only” or the “Combined Revenue Neutral Rate &amp; Budget Hearing Notice” section and publication should be used.  </t>
    </r>
  </si>
  <si>
    <r>
      <t>a.</t>
    </r>
    <r>
      <rPr>
        <sz val="7"/>
        <rFont val="Times New Roman"/>
        <family val="1"/>
      </rPr>
      <t xml:space="preserve">       </t>
    </r>
    <r>
      <rPr>
        <u/>
        <sz val="12"/>
        <rFont val="Times New Roman"/>
        <family val="1"/>
      </rPr>
      <t>Budget Hearing Notice Only</t>
    </r>
    <r>
      <rPr>
        <sz val="12"/>
        <rFont val="Times New Roman"/>
        <family val="1"/>
      </rPr>
      <t xml:space="preserve">: If the subdivision does not intend to exceed the RNR or will publish the RNR hearing information separately, this section may be used.  Enter the required information into the green-shaded cells. Print and review the tab (Budget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t>
    </r>
  </si>
  <si>
    <r>
      <t>b.</t>
    </r>
    <r>
      <rPr>
        <sz val="7"/>
        <rFont val="Times New Roman"/>
        <family val="1"/>
      </rPr>
      <t xml:space="preserve">      </t>
    </r>
    <r>
      <rPr>
        <u/>
        <sz val="12"/>
        <rFont val="Times New Roman"/>
        <family val="1"/>
      </rPr>
      <t>Combined Revenue Neutral Rate &amp; Budget Hearing Notice</t>
    </r>
    <r>
      <rPr>
        <sz val="12"/>
        <rFont val="Times New Roman"/>
        <family val="1"/>
      </rPr>
      <t xml:space="preserve">: If the subdivision intends to hold a hearing to exceed the RNR, the subdivision may elect to publish the rate and budget hearing together.  This alternate publication may be used for that purpose.  Enter the required information into the green-shaded cells. Print and review the tab (Combined-Rate-Bud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Additionally, the rate hearing information must be published to the taxing subdivision’s website, if maintained.  </t>
    </r>
  </si>
  <si>
    <r>
      <t>c.</t>
    </r>
    <r>
      <rPr>
        <sz val="7"/>
        <rFont val="Times New Roman"/>
        <family val="1"/>
      </rPr>
      <t xml:space="preserve">       </t>
    </r>
    <r>
      <rPr>
        <u/>
        <sz val="12"/>
        <rFont val="Times New Roman"/>
        <family val="1"/>
      </rPr>
      <t>Hearing to Exceed the Revenue Neutral Rate Notice Only</t>
    </r>
    <r>
      <rPr>
        <sz val="12"/>
        <rFont val="Times New Roman"/>
        <family val="1"/>
      </rPr>
      <t xml:space="preserve">: If the subdivision wishes to publish the hearing information to exceed the RNR separately, this alternate publication may be used.  Enter the required information into the green-shaded cells. Print and review the tab (RNR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Additionally, the rate hearing information must be published to the taxing subdivision’s website, if maintained.  </t>
    </r>
  </si>
  <si>
    <r>
      <t>4.</t>
    </r>
    <r>
      <rPr>
        <sz val="12"/>
        <rFont val="Times New Roman"/>
        <family val="1"/>
      </rPr>
      <t xml:space="preserve"> </t>
    </r>
    <r>
      <rPr>
        <u/>
        <sz val="12"/>
        <rFont val="Times New Roman"/>
        <family val="1"/>
      </rPr>
      <t>Certificate (Cert)</t>
    </r>
    <r>
      <rPr>
        <sz val="12"/>
        <rFont val="Times New Roman"/>
        <family val="1"/>
      </rPr>
      <t xml:space="preserve">:  This document is populated with information entered on the fund tabs and input tabs.  If there is incorrect information on the Certificate, do </t>
    </r>
    <r>
      <rPr>
        <u/>
        <sz val="12"/>
        <rFont val="Times New Roman"/>
        <family val="1"/>
      </rPr>
      <t>not</t>
    </r>
    <r>
      <rPr>
        <sz val="12"/>
        <rFont val="Times New Roman"/>
        <family val="1"/>
      </rPr>
      <t xml:space="preserve"> correct the Certificate directly. Correct the fund or input tab that populates the information on the Certificate.  If you cannot correct the error, please contact Municipal Services for assistance. </t>
    </r>
  </si>
  <si>
    <r>
      <t>a.</t>
    </r>
    <r>
      <rPr>
        <sz val="7"/>
        <rFont val="Times New Roman"/>
        <family val="1"/>
      </rPr>
      <t xml:space="preserve">       </t>
    </r>
    <r>
      <rPr>
        <sz val="12"/>
        <rFont val="Times New Roman"/>
        <family val="1"/>
      </rPr>
      <t>If someone other than a municipal employee assists in preparing the budget, please enter the person's or firm's name and address in the green-shaded cells provided at the bottom left.</t>
    </r>
  </si>
  <si>
    <r>
      <t>b.</t>
    </r>
    <r>
      <rPr>
        <sz val="7"/>
        <rFont val="Times New Roman"/>
        <family val="1"/>
      </rPr>
      <t xml:space="preserve">      </t>
    </r>
    <r>
      <rPr>
        <sz val="12"/>
        <rFont val="Times New Roman"/>
        <family val="1"/>
      </rPr>
      <t xml:space="preserve">This is a required document and must be included in the adopted budget submitted to the County Clerk. </t>
    </r>
  </si>
  <si>
    <r>
      <t>5.</t>
    </r>
    <r>
      <rPr>
        <sz val="12"/>
        <rFont val="Times New Roman"/>
        <family val="1"/>
      </rPr>
      <t xml:space="preserve">  </t>
    </r>
    <r>
      <rPr>
        <u/>
        <sz val="12"/>
        <rFont val="Times New Roman"/>
        <family val="1"/>
      </rPr>
      <t>Allocation of MV, RV, 16/20M, Commercial Vehicle and Watercraft Tax Estimates (Mvalloc)</t>
    </r>
    <r>
      <rPr>
        <sz val="12"/>
        <rFont val="Times New Roman"/>
        <family val="1"/>
      </rPr>
      <t>: This information populated from the information entered on inputPrYr and inputOth.  Once calculated, the motor allocation information is linked to the applicable fund pages. If information concerning on this tab is not correct, do not make changes to this tab, but rather correct the information on inputPrYr and/or inputOth.</t>
    </r>
  </si>
  <si>
    <r>
      <t>a.</t>
    </r>
    <r>
      <rPr>
        <sz val="7"/>
        <rFont val="Times New Roman"/>
        <family val="1"/>
      </rPr>
      <t xml:space="preserve">       </t>
    </r>
    <r>
      <rPr>
        <sz val="12"/>
        <rFont val="Times New Roman"/>
        <family val="1"/>
      </rPr>
      <t xml:space="preserve">This is a required document and must be included in the adopted budget submitted to the County Clerk. </t>
    </r>
  </si>
  <si>
    <r>
      <t>6.</t>
    </r>
    <r>
      <rPr>
        <sz val="12"/>
        <rFont val="Times New Roman"/>
        <family val="1"/>
      </rPr>
      <t xml:space="preserve"> </t>
    </r>
    <r>
      <rPr>
        <u/>
        <sz val="12"/>
        <rFont val="Times New Roman"/>
        <family val="1"/>
      </rPr>
      <t>Schedule of Transfers (Transfers)</t>
    </r>
    <r>
      <rPr>
        <sz val="12"/>
        <rFont val="Times New Roman"/>
        <family val="1"/>
      </rPr>
      <t xml:space="preserve">:  This document reports all actual, current, and proposed transfers for the taxing subdivision. Provide the statute that authorizes the transfer. The Transfer Statutes (Transfer Statutes) tab lists applicable transfer statutes for reference. If Home Rule is applied, provide the charter ordinance number in place of the statute. </t>
    </r>
  </si>
  <si>
    <r>
      <t>a.</t>
    </r>
    <r>
      <rPr>
        <sz val="7"/>
        <rFont val="Times New Roman"/>
        <family val="1"/>
      </rPr>
      <t xml:space="preserve">      </t>
    </r>
    <r>
      <rPr>
        <sz val="12"/>
        <rFont val="Times New Roman"/>
        <family val="1"/>
      </rPr>
      <t xml:space="preserve">The transfers are totaled at the bottom of the schedule and the aggregate transfer amount is linked to the hearing notice pages.    </t>
    </r>
  </si>
  <si>
    <r>
      <t>b.</t>
    </r>
    <r>
      <rPr>
        <sz val="7"/>
        <rFont val="Times New Roman"/>
        <family val="1"/>
      </rPr>
      <t xml:space="preserve">       </t>
    </r>
    <r>
      <rPr>
        <sz val="12"/>
        <rFont val="Times New Roman"/>
        <family val="1"/>
      </rPr>
      <t xml:space="preserve">Adjustments are made for only those non-budgeted expenditure transfers appearing in the current and/or proposed columns of the schedule and do not have expenditures shown in the hearing notice current and proposed columns. These types of transfers are not truly an expenditure at this time and as such an adjustment is needed to show the taxpayers the actual expenditures for the municipality. </t>
    </r>
  </si>
  <si>
    <r>
      <t>c.</t>
    </r>
    <r>
      <rPr>
        <sz val="7"/>
        <rFont val="Times New Roman"/>
        <family val="1"/>
      </rPr>
      <t xml:space="preserve">      </t>
    </r>
    <r>
      <rPr>
        <sz val="12"/>
        <rFont val="Times New Roman"/>
        <family val="1"/>
      </rPr>
      <t>Each transfer listed must be recorded on the appropriate fund pages (tabs) the individual completed fund pages.</t>
    </r>
  </si>
  <si>
    <r>
      <t>d.</t>
    </r>
    <r>
      <rPr>
        <sz val="7"/>
        <rFont val="Times New Roman"/>
        <family val="1"/>
      </rPr>
      <t xml:space="preserve">       </t>
    </r>
    <r>
      <rPr>
        <sz val="12"/>
        <rFont val="Times New Roman"/>
        <family val="1"/>
      </rPr>
      <t xml:space="preserve">If there are no transfers, leave as zeroes. This document must be included in the adopted budget submitted to the County Clerk. </t>
    </r>
  </si>
  <si>
    <r>
      <t>7.</t>
    </r>
    <r>
      <rPr>
        <sz val="12"/>
        <rFont val="Times New Roman"/>
        <family val="1"/>
      </rPr>
      <t xml:space="preserve">  </t>
    </r>
    <r>
      <rPr>
        <u/>
        <sz val="12"/>
        <rFont val="Times New Roman"/>
        <family val="1"/>
      </rPr>
      <t>Statement of Indebtedness (Debt)</t>
    </r>
    <r>
      <rPr>
        <sz val="12"/>
        <rFont val="Times New Roman"/>
        <family val="1"/>
      </rPr>
      <t xml:space="preserve">: This document must show all of the debt owed or proposed to be issued.  The general obligation and revenue bond totals for the budget year are linked to the hearing notice pages.  </t>
    </r>
  </si>
  <si>
    <r>
      <t>a.</t>
    </r>
    <r>
      <rPr>
        <sz val="7"/>
        <rFont val="Times New Roman"/>
        <family val="1"/>
      </rPr>
      <t xml:space="preserve">       </t>
    </r>
    <r>
      <rPr>
        <sz val="12"/>
        <rFont val="Times New Roman"/>
        <family val="1"/>
      </rPr>
      <t xml:space="preserve">If the taxing subdivision does not have any debt, enter “None” on the first line. This document must be included in the adopted budget submitted to the County Clerk. </t>
    </r>
  </si>
  <si>
    <r>
      <t>8.</t>
    </r>
    <r>
      <rPr>
        <sz val="12"/>
        <rFont val="Times New Roman"/>
        <family val="1"/>
      </rPr>
      <t xml:space="preserve">  </t>
    </r>
    <r>
      <rPr>
        <u/>
        <sz val="12"/>
        <rFont val="Times New Roman"/>
        <family val="1"/>
      </rPr>
      <t>Statement of Conditional Lease, Lease-Purchases and Certificate of Participation (LP Form)</t>
    </r>
    <r>
      <rPr>
        <sz val="12"/>
        <rFont val="Times New Roman"/>
        <family val="1"/>
      </rPr>
      <t xml:space="preserve">: This document must be completed for all transactions in which the taxing subdivision intends to own the equipment.  Principal Balance Due for the actual year is linked to the hearing notice pages. </t>
    </r>
  </si>
  <si>
    <r>
      <t>a.</t>
    </r>
    <r>
      <rPr>
        <sz val="7"/>
        <rFont val="Times New Roman"/>
        <family val="1"/>
      </rPr>
      <t xml:space="preserve">       </t>
    </r>
    <r>
      <rPr>
        <sz val="12"/>
        <rFont val="Times New Roman"/>
        <family val="1"/>
      </rPr>
      <t>If the taxing subdivision does not have any leases, enter 'None' on the first line. This document must be included in the adopted budget submitted to the County Clerk.</t>
    </r>
  </si>
  <si>
    <r>
      <t>9.</t>
    </r>
    <r>
      <rPr>
        <sz val="12"/>
        <rFont val="Times New Roman"/>
        <family val="1"/>
      </rPr>
      <t xml:space="preserve"> </t>
    </r>
    <r>
      <rPr>
        <u/>
        <sz val="12"/>
        <rFont val="Times New Roman"/>
        <family val="1"/>
      </rPr>
      <t>Worksheet for State Grant-In-Aid to Public Libraries and Regional Library Systems (Library Grant)</t>
    </r>
    <r>
      <rPr>
        <sz val="12"/>
        <rFont val="Times New Roman"/>
        <family val="1"/>
      </rPr>
      <t xml:space="preserve">: This information is populated from the Library fund page and is used to determine if the municipality qualifies for a State grant. If qualified, the bottom of the Library fund page will say “Qualifies for State Library Grant” in red. If not qualified, it will say “See Library Grant tab.”  </t>
    </r>
  </si>
  <si>
    <r>
      <t>a.</t>
    </r>
    <r>
      <rPr>
        <sz val="7"/>
        <rFont val="Times New Roman"/>
        <family val="1"/>
      </rPr>
      <t xml:space="preserve">       </t>
    </r>
    <r>
      <rPr>
        <sz val="12"/>
        <rFont val="Times New Roman"/>
        <family val="1"/>
      </rPr>
      <t>For subdivisions with a library: If the Library fund page is used, the Certificate page will update the Table of Contents to show “Computation to Determine State Library Grant.” This worksheet will be a required document in the adopted budget submitted to the County Clerk.</t>
    </r>
  </si>
  <si>
    <r>
      <t>b.</t>
    </r>
    <r>
      <rPr>
        <sz val="7"/>
        <rFont val="Times New Roman"/>
        <family val="1"/>
      </rPr>
      <t xml:space="preserve">      </t>
    </r>
    <r>
      <rPr>
        <sz val="12"/>
        <rFont val="Times New Roman"/>
        <family val="1"/>
      </rPr>
      <t xml:space="preserve">For subdivisions without a library: No action is required, and this page </t>
    </r>
    <r>
      <rPr>
        <i/>
        <sz val="12"/>
        <rFont val="Times New Roman"/>
        <family val="1"/>
      </rPr>
      <t xml:space="preserve">does not </t>
    </r>
    <r>
      <rPr>
        <sz val="12"/>
        <rFont val="Times New Roman"/>
        <family val="1"/>
      </rPr>
      <t>need to be included in the adopted budget submitted to the County Clerk.</t>
    </r>
  </si>
  <si>
    <r>
      <t>10.</t>
    </r>
    <r>
      <rPr>
        <sz val="12"/>
        <rFont val="Times New Roman"/>
        <family val="1"/>
      </rPr>
      <t xml:space="preserve">  The budget workbook has individual fund sheets such as, but not limited to, General Fund (General), Debt Service and Library levy fund (DebtSvs-Library), levy funds (Levy Page #), Special Highway fund (Spec Hwy), non-levy funds (No Levy Page #) and single no levy funds (Single No Levy Page #).  Only complete the fund pages needed.  </t>
    </r>
    <r>
      <rPr>
        <b/>
        <u/>
        <sz val="12"/>
        <rFont val="Times New Roman"/>
        <family val="1"/>
      </rPr>
      <t>Do not delete unused pages.</t>
    </r>
    <r>
      <rPr>
        <sz val="12"/>
        <rFont val="Times New Roman"/>
        <family val="1"/>
      </rPr>
      <t xml:space="preserve"> When the fund pages are completed, the totals will be shown on the Certificate and hearing notice pages.</t>
    </r>
  </si>
  <si>
    <r>
      <t>a.</t>
    </r>
    <r>
      <rPr>
        <sz val="7"/>
        <rFont val="Times New Roman"/>
        <family val="1"/>
      </rPr>
      <t xml:space="preserve">       </t>
    </r>
    <r>
      <rPr>
        <sz val="12"/>
        <rFont val="Times New Roman"/>
        <family val="1"/>
      </rPr>
      <t>The page number for the General Fund and General Fund Detail do not prepopulate.  Once the page number is manually entered at the bottom of the General Fund page, the correct page number will auto-populate at the bottom of the General Fund Detail page. If the taxing subdivision has a Library Fund, the Library Grant page will auto-populate.</t>
    </r>
  </si>
  <si>
    <r>
      <t>b.</t>
    </r>
    <r>
      <rPr>
        <sz val="7"/>
        <rFont val="Times New Roman"/>
        <family val="1"/>
      </rPr>
      <t xml:space="preserve">      </t>
    </r>
    <r>
      <rPr>
        <sz val="12"/>
        <rFont val="Times New Roman"/>
        <family val="1"/>
      </rPr>
      <t xml:space="preserve">On all tax levy fund pages, see the “Projected Carryover” tool for the proposed budgeted year.   The carryover tool provides insight as what the projected cash might be using figures from the budget being submitted.  The figures used are only estimates and if the actual receipts or expenditures vary, the projected cash carryover will be affected.  </t>
    </r>
    <r>
      <rPr>
        <b/>
        <u/>
        <sz val="12"/>
        <rFont val="Times New Roman"/>
        <family val="1"/>
      </rPr>
      <t>Note</t>
    </r>
    <r>
      <rPr>
        <sz val="12"/>
        <rFont val="Times New Roman"/>
        <family val="1"/>
      </rPr>
      <t>: delinquent taxes are not included in the projected carryover as they have a major impact on the “Desired Carryover” tool.</t>
    </r>
  </si>
  <si>
    <r>
      <t>c.</t>
    </r>
    <r>
      <rPr>
        <sz val="7"/>
        <rFont val="Times New Roman"/>
        <family val="1"/>
      </rPr>
      <t xml:space="preserve">       </t>
    </r>
    <r>
      <rPr>
        <sz val="12"/>
        <rFont val="Times New Roman"/>
        <family val="1"/>
      </rPr>
      <t xml:space="preserve">On all tax levy fund page, see the “Desired Carryover” tool. This is used to estimate a desired carryover amount and show the estimated mill rate impact along with the expenditure adjustments required to reach the desired carryover.  </t>
    </r>
    <r>
      <rPr>
        <b/>
        <u/>
        <sz val="12"/>
        <rFont val="Times New Roman"/>
        <family val="1"/>
      </rPr>
      <t>Note</t>
    </r>
    <r>
      <rPr>
        <sz val="12"/>
        <rFont val="Times New Roman"/>
        <family val="1"/>
      </rPr>
      <t>: if a delinquency rate is used, the tool may require several adjustments to get the desired amount or close to the desire amount.</t>
    </r>
  </si>
  <si>
    <r>
      <t>d.</t>
    </r>
    <r>
      <rPr>
        <sz val="7"/>
        <rFont val="Times New Roman"/>
        <family val="1"/>
      </rPr>
      <t xml:space="preserve">      </t>
    </r>
    <r>
      <rPr>
        <sz val="12"/>
        <rFont val="Times New Roman"/>
        <family val="1"/>
      </rPr>
      <t xml:space="preserve">On all tax levy fund pages, we have placed “Estimated Mill Rate &amp; Revenue Neutral Rate Comparison” tool. This tool is used to illustrate and compare the fund rates (both estimated and current year) as well as the total rates (estimated and current year). Additionally, users will see the RNR to determine whether the process in KSA 79-2988 should be followed. If a RNR hearing is required, “Yes” will appear in a red box, and a red statement with additional instruction will appear. </t>
    </r>
  </si>
  <si>
    <r>
      <t>e.</t>
    </r>
    <r>
      <rPr>
        <sz val="7"/>
        <rFont val="Times New Roman"/>
        <family val="1"/>
      </rPr>
      <t xml:space="preserve">       </t>
    </r>
    <r>
      <rPr>
        <u/>
        <sz val="12"/>
        <rFont val="Times New Roman"/>
        <family val="1"/>
      </rPr>
      <t>General Detail Page (General Detail)</t>
    </r>
    <r>
      <rPr>
        <sz val="12"/>
        <rFont val="Times New Roman"/>
        <family val="1"/>
      </rPr>
      <t xml:space="preserve">:  This page shows detailed expenditures for the General Fund departments.  If used, you will input each department name and expenditures on this page </t>
    </r>
    <r>
      <rPr>
        <i/>
        <sz val="12"/>
        <rFont val="Times New Roman"/>
        <family val="1"/>
      </rPr>
      <t xml:space="preserve">and </t>
    </r>
    <r>
      <rPr>
        <sz val="12"/>
        <rFont val="Times New Roman"/>
        <family val="1"/>
      </rPr>
      <t xml:space="preserve">input the department name and </t>
    </r>
    <r>
      <rPr>
        <u/>
        <sz val="12"/>
        <rFont val="Times New Roman"/>
        <family val="1"/>
      </rPr>
      <t>total</t>
    </r>
    <r>
      <rPr>
        <sz val="12"/>
        <rFont val="Times New Roman"/>
        <family val="1"/>
      </rPr>
      <t xml:space="preserve"> expenditures on the General Fund page. Department transfers should be shown on the General Fund page only. Departments with like transfers may be shown together on the General Fund page as single line items. For example: if several departments have a transfer for equipment reserve, the total of all equipment reserve transfers should be shown on the General Fund page as “Transfer to Equipment Reserve” for each budgeted year.</t>
    </r>
  </si>
  <si>
    <r>
      <t>f.</t>
    </r>
    <r>
      <rPr>
        <sz val="7"/>
        <rFont val="Times New Roman"/>
        <family val="1"/>
      </rPr>
      <t xml:space="preserve">        </t>
    </r>
    <r>
      <rPr>
        <sz val="12"/>
        <rFont val="Times New Roman"/>
        <family val="1"/>
      </rPr>
      <t xml:space="preserve">Each tax levy fund will have an expenditure line for neighborhood revitalization.  Only input the rebate amounts for the </t>
    </r>
    <r>
      <rPr>
        <b/>
        <sz val="12"/>
        <rFont val="Times New Roman"/>
        <family val="1"/>
      </rPr>
      <t>actual and current year</t>
    </r>
    <r>
      <rPr>
        <sz val="12"/>
        <rFont val="Times New Roman"/>
        <family val="1"/>
      </rPr>
      <t xml:space="preserve">.  The proposed budget year amount will be computed for you. Please see step 12 for neighborhood revitalization rebate instructions for the proposed budget year. </t>
    </r>
  </si>
  <si>
    <r>
      <t>g.</t>
    </r>
    <r>
      <rPr>
        <sz val="7"/>
        <rFont val="Times New Roman"/>
        <family val="1"/>
      </rPr>
      <t xml:space="preserve">      </t>
    </r>
    <r>
      <rPr>
        <u/>
        <sz val="12"/>
        <rFont val="Times New Roman"/>
        <family val="1"/>
      </rPr>
      <t>Optional</t>
    </r>
    <r>
      <rPr>
        <sz val="12"/>
        <rFont val="Times New Roman"/>
        <family val="1"/>
      </rPr>
      <t xml:space="preserve">: All levy fund pages have a Non-Appropriated Balance cell. It is not mandatory enter an amount or the Non-Appropriated Balance.  KSA 79-2927 allows the taxing subdivision to enter an amount not to exceed 5% of the total expenditures for each fund. If the amount entered in the cell exceeds the 5%, a warning "Exceeds 5%" will appear and the block will turn red.  In order to remove this warning message, you must reduce the non-appropriated amount. </t>
    </r>
  </si>
  <si>
    <r>
      <t>h.</t>
    </r>
    <r>
      <rPr>
        <sz val="7"/>
        <rFont val="Times New Roman"/>
        <family val="1"/>
      </rPr>
      <t xml:space="preserve">      </t>
    </r>
    <r>
      <rPr>
        <sz val="12"/>
        <rFont val="Times New Roman"/>
        <family val="1"/>
      </rPr>
      <t xml:space="preserve">Each fund page has a “Miscellaneous” receipt and expenditure line item.  Once an amount has been entered into the cell for actual/current/proposed columns, the amount will be compared with either total expenditures or total receipts to determine if it exceeds the 10% Rule in KSA 79-2927.  If the amount exceeds the 10% Rule, the block will turn red, the amount bolded, and “Exceed 10% Rule” will appear in red.  To remove the statement and return the block to normal, you must reduce the amount to either 10% or less. </t>
    </r>
    <r>
      <rPr>
        <b/>
        <u/>
        <sz val="12"/>
        <rFont val="Times New Roman"/>
        <family val="1"/>
      </rPr>
      <t>Note</t>
    </r>
    <r>
      <rPr>
        <sz val="12"/>
        <rFont val="Times New Roman"/>
        <family val="1"/>
      </rPr>
      <t>: Under the proposed column, the miscellaneous receipt takes into consideration the amount of ad valorem taxes in determining the 10% Rule.</t>
    </r>
  </si>
  <si>
    <r>
      <t>i.</t>
    </r>
    <r>
      <rPr>
        <sz val="7"/>
        <rFont val="Times New Roman"/>
        <family val="1"/>
      </rPr>
      <t xml:space="preserve">        </t>
    </r>
    <r>
      <rPr>
        <u/>
        <sz val="12"/>
        <rFont val="Times New Roman"/>
        <family val="1"/>
      </rPr>
      <t>Debt Service fund page (DebtSvs-Library)</t>
    </r>
    <r>
      <rPr>
        <sz val="12"/>
        <rFont val="Times New Roman"/>
        <family val="1"/>
      </rPr>
      <t xml:space="preserve">: This fund page may contain all debts owed by the taxing subdivision and the amounts should agree with the Statement of Indebtedness amounts.  Debts that are pledged from a revenue stream should have enough funds transferred into the Debt Service fund to cover the bond principal and interest for these debts. </t>
    </r>
    <r>
      <rPr>
        <b/>
        <u/>
        <sz val="12"/>
        <rFont val="Times New Roman"/>
        <family val="1"/>
      </rPr>
      <t>Note</t>
    </r>
    <r>
      <rPr>
        <sz val="12"/>
        <rFont val="Times New Roman"/>
        <family val="1"/>
      </rPr>
      <t>: Debts pledged from revenue streams are not required to be included in the Debt Service fund page but can be paid from the fund in which the revenue stream is located. If the taxing subdivision has No Fund warrants, these can be included in the Debt Service fund page and levy taxes for this debt. No Fund warrants are not required to be included in the Debt Service fund and may have a separate Tax Levy Fund to account for them.</t>
    </r>
  </si>
  <si>
    <t xml:space="preserve">See step 9 for detailed instruction on the library fund. </t>
  </si>
  <si>
    <r>
      <t>j.</t>
    </r>
    <r>
      <rPr>
        <sz val="7"/>
        <rFont val="Times New Roman"/>
        <family val="1"/>
      </rPr>
      <t xml:space="preserve">        </t>
    </r>
    <r>
      <rPr>
        <u/>
        <sz val="12"/>
        <rFont val="Times New Roman"/>
        <family val="1"/>
      </rPr>
      <t>Funds with No Tax Levy fund page (No Levy Page #)</t>
    </r>
    <r>
      <rPr>
        <sz val="12"/>
        <rFont val="Times New Roman"/>
        <family val="1"/>
      </rPr>
      <t xml:space="preserve">:  These pages will be used to budget any fund that does not have the authority or need to levy an ad valorem property tax. These funds will have revenues of fees, sales tax, license, enterprise, etc.  </t>
    </r>
  </si>
  <si>
    <r>
      <t>k.</t>
    </r>
    <r>
      <rPr>
        <sz val="7"/>
        <rFont val="Times New Roman"/>
        <family val="1"/>
      </rPr>
      <t xml:space="preserve">      </t>
    </r>
    <r>
      <rPr>
        <u/>
        <sz val="12"/>
        <rFont val="Times New Roman"/>
        <family val="1"/>
      </rPr>
      <t>Single No Tax Levy fund page (Single No Levy Page #)</t>
    </r>
    <r>
      <rPr>
        <sz val="12"/>
        <rFont val="Times New Roman"/>
        <family val="1"/>
      </rPr>
      <t>: These pages are for funds with numerous lines for receipts or expenditures that do not fit on one of the other no levy fund pages.  Additional lines may be added as needed. Please contact Municipal Services for assistance.</t>
    </r>
  </si>
  <si>
    <r>
      <t>l.</t>
    </r>
    <r>
      <rPr>
        <sz val="7"/>
        <rFont val="Times New Roman"/>
        <family val="1"/>
      </rPr>
      <t xml:space="preserve">        </t>
    </r>
    <r>
      <rPr>
        <u/>
        <sz val="12"/>
        <rFont val="Times New Roman"/>
        <family val="1"/>
      </rPr>
      <t>Non-Budgeted Funds (Non-Budgeted Funds)</t>
    </r>
    <r>
      <rPr>
        <sz val="12"/>
        <rFont val="Times New Roman"/>
        <family val="1"/>
      </rPr>
      <t xml:space="preserve">: The non-budgeted funds are only required to show the actual year receipts and expenditures. The expenditures total will populate the hearing notice page. Normally, the unencumbered cash balance should end with a positive cash balance.  If it ends with a negative, the worksheet will indicate the negative balance by displaying “See Tab B” in red under the unencumbered cash balance. Use Tab B to determine if corrective action is available.  </t>
    </r>
  </si>
  <si>
    <r>
      <t>m.</t>
    </r>
    <r>
      <rPr>
        <sz val="7"/>
        <rFont val="Times New Roman"/>
        <family val="1"/>
      </rPr>
      <t xml:space="preserve">    </t>
    </r>
    <r>
      <rPr>
        <u/>
        <sz val="12"/>
        <rFont val="Times New Roman"/>
        <family val="1"/>
      </rPr>
      <t>Tab A and Tab B</t>
    </r>
    <r>
      <rPr>
        <sz val="12"/>
        <rFont val="Times New Roman"/>
        <family val="1"/>
      </rPr>
      <t xml:space="preserve">: If the </t>
    </r>
    <r>
      <rPr>
        <i/>
        <sz val="12"/>
        <rFont val="Times New Roman"/>
        <family val="1"/>
      </rPr>
      <t>prior year</t>
    </r>
    <r>
      <rPr>
        <sz val="12"/>
        <rFont val="Times New Roman"/>
        <family val="1"/>
      </rPr>
      <t xml:space="preserve"> total expenditures on any budgeted fund page exceeds the budget authority amount, "See Tab A" will appear in red to indicate a possible prior year budget law violation.  If a fund ended the prior year with a negative cash balance, "See Tab B" will appear in red to indicate a possible prior year cash basis law violation.  Use Tab A and Tab B to determine if corrective action is available.</t>
    </r>
  </si>
  <si>
    <r>
      <t>n.</t>
    </r>
    <r>
      <rPr>
        <sz val="7"/>
        <rFont val="Times New Roman"/>
        <family val="1"/>
      </rPr>
      <t xml:space="preserve">      </t>
    </r>
    <r>
      <rPr>
        <u/>
        <sz val="12"/>
        <rFont val="Times New Roman"/>
        <family val="1"/>
      </rPr>
      <t>Tab C and Tab D</t>
    </r>
    <r>
      <rPr>
        <sz val="12"/>
        <rFont val="Times New Roman"/>
        <family val="1"/>
      </rPr>
      <t xml:space="preserve">: If the </t>
    </r>
    <r>
      <rPr>
        <i/>
        <sz val="12"/>
        <rFont val="Times New Roman"/>
        <family val="1"/>
      </rPr>
      <t>current year</t>
    </r>
    <r>
      <rPr>
        <sz val="12"/>
        <rFont val="Times New Roman"/>
        <family val="1"/>
      </rPr>
      <t xml:space="preserve"> adjusted expenditures on any budgeted fund page exceeds the budget authority amount, “See Tab C” will appear in red to indicate a possible current year budget law violation. If a fund ends the current year with a negative cash balance "See Tab D" will appear in red to indicate a possible current year cash basis law violation. Use Tab C and Tab D to determine if corrective action is available.</t>
    </r>
  </si>
  <si>
    <r>
      <t>o.</t>
    </r>
    <r>
      <rPr>
        <sz val="7"/>
        <rFont val="Times New Roman"/>
        <family val="1"/>
      </rPr>
      <t xml:space="preserve">      </t>
    </r>
    <r>
      <rPr>
        <u/>
        <sz val="12"/>
        <rFont val="Times New Roman"/>
        <family val="1"/>
      </rPr>
      <t>Tab E</t>
    </r>
    <r>
      <rPr>
        <sz val="12"/>
        <rFont val="Times New Roman"/>
        <family val="1"/>
      </rPr>
      <t xml:space="preserve">: If the </t>
    </r>
    <r>
      <rPr>
        <i/>
        <sz val="12"/>
        <rFont val="Times New Roman"/>
        <family val="1"/>
      </rPr>
      <t>proposed budget</t>
    </r>
    <r>
      <rPr>
        <sz val="12"/>
        <rFont val="Times New Roman"/>
        <family val="1"/>
      </rPr>
      <t xml:space="preserve"> cash balance is negative, “See Tab E” will appear in red to indicate a possible proposed budget year budget law violation. Use Tab E to determine if corrective action is available. </t>
    </r>
  </si>
  <si>
    <r>
      <t>11.</t>
    </r>
    <r>
      <rPr>
        <sz val="12"/>
        <rFont val="Times New Roman"/>
        <family val="1"/>
      </rPr>
      <t xml:space="preserve">  </t>
    </r>
    <r>
      <rPr>
        <u/>
        <sz val="12"/>
        <rFont val="Times New Roman"/>
        <family val="1"/>
      </rPr>
      <t>Hearing Notices (Budget Hearing Notice), (Combined Rate-Bud Hearing Notice), (RNR Hearing Notice)</t>
    </r>
    <r>
      <rPr>
        <sz val="12"/>
        <rFont val="Times New Roman"/>
        <family val="1"/>
      </rPr>
      <t xml:space="preserve">: These pages will populate the required information from other worksheets.  If you find information that is not correct, please go to the worksheet from which the information originates to make the correction. If you cannot correct the error, please contact Municipal Services for assistance.   </t>
    </r>
  </si>
  <si>
    <r>
      <t>a.</t>
    </r>
    <r>
      <rPr>
        <sz val="7"/>
        <rFont val="Times New Roman"/>
        <family val="1"/>
      </rPr>
      <t xml:space="preserve">       </t>
    </r>
    <r>
      <rPr>
        <sz val="12"/>
        <rFont val="Times New Roman"/>
        <family val="1"/>
      </rPr>
      <t>The inputHearing tab is used to place information on the respective hearing notice options.  On input tab you will key in the following information: Name of Person presenting the budget, Title of Person, date the budget hearing will be held, time of the hearing, location of the budget hearing, and a place whereas the taxpayers can obtain a copy of the budget.</t>
    </r>
  </si>
  <si>
    <r>
      <t>b.</t>
    </r>
    <r>
      <rPr>
        <sz val="7"/>
        <rFont val="Times New Roman"/>
        <family val="1"/>
      </rPr>
      <t xml:space="preserve">      </t>
    </r>
    <r>
      <rPr>
        <sz val="12"/>
        <rFont val="Times New Roman"/>
        <family val="1"/>
      </rPr>
      <t>At the bottom of the hearing notice pages is a green-shaded cell, enter the page number.</t>
    </r>
  </si>
  <si>
    <r>
      <t>c.</t>
    </r>
    <r>
      <rPr>
        <sz val="7"/>
        <rFont val="Times New Roman"/>
        <family val="1"/>
      </rPr>
      <t xml:space="preserve">       </t>
    </r>
    <r>
      <rPr>
        <u/>
        <sz val="12"/>
        <rFont val="Times New Roman"/>
        <family val="1"/>
      </rPr>
      <t>Optional Tools</t>
    </r>
    <r>
      <rPr>
        <sz val="12"/>
        <rFont val="Times New Roman"/>
        <family val="1"/>
      </rPr>
      <t>: The following tools are not required to be used but are designed for different budget targets.</t>
    </r>
  </si>
  <si>
    <r>
      <t xml:space="preserve"> </t>
    </r>
    <r>
      <rPr>
        <sz val="12"/>
        <rFont val="Times New Roman"/>
        <family val="1"/>
      </rPr>
      <t>i.</t>
    </r>
    <r>
      <rPr>
        <sz val="7"/>
        <rFont val="Times New Roman"/>
        <family val="1"/>
      </rPr>
      <t xml:space="preserve">      </t>
    </r>
    <r>
      <rPr>
        <sz val="12"/>
        <rFont val="Times New Roman"/>
        <family val="1"/>
      </rPr>
      <t xml:space="preserve">The “Estimated Value of One Mill” tool shows what 1 mill rate would generate in dollars for the municipality, based on the estimated valuation input on the inputOth tab.  </t>
    </r>
  </si>
  <si>
    <r>
      <rPr>
        <sz val="12"/>
        <rFont val="Times New Roman"/>
        <family val="1"/>
      </rPr>
      <t>ii.</t>
    </r>
    <r>
      <rPr>
        <sz val="7"/>
        <rFont val="Times New Roman"/>
        <family val="1"/>
      </rPr>
      <t xml:space="preserve">      </t>
    </r>
    <r>
      <rPr>
        <sz val="12"/>
        <rFont val="Times New Roman"/>
        <family val="1"/>
      </rPr>
      <t xml:space="preserve">The “What the Mill Rate the Same As” and “Impact on Keeping the Same Mill Rate” tools show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tax levy fund expenditures.  </t>
    </r>
    <r>
      <rPr>
        <u/>
        <sz val="12"/>
        <rFont val="Times New Roman"/>
        <family val="1"/>
      </rPr>
      <t>Note</t>
    </r>
    <r>
      <rPr>
        <sz val="12"/>
        <rFont val="Times New Roman"/>
        <family val="1"/>
      </rPr>
      <t xml:space="preserve">: If a delinquency rate is used on the tax levy fund pages, the tool may require several adjustments to get the desired result or close to the desired amount. </t>
    </r>
  </si>
  <si>
    <r>
      <rPr>
        <sz val="12"/>
        <rFont val="Times New Roman"/>
        <family val="1"/>
      </rPr>
      <t>iii.</t>
    </r>
    <r>
      <rPr>
        <sz val="7"/>
        <rFont val="Times New Roman"/>
        <family val="1"/>
      </rPr>
      <t xml:space="preserve">      </t>
    </r>
    <r>
      <rPr>
        <sz val="12"/>
        <rFont val="Times New Roman"/>
        <family val="1"/>
      </rPr>
      <t>The “Mill Rate Estimates versus Mill Rate Target” tool allows the municipality to enter a target mill rate and compare such rate with the estimated rate, as well as the RNR.  This tool will show the amount of expenditure adjustments required to hit the rate target. If a rate hearing/resolution is required based on the estimated mill rate, a red warning “Yes” and a statement “Follow procedure prescribed by KSA 79-2988 to exceed the Revenue Neutral Rate” will appear.</t>
    </r>
  </si>
  <si>
    <r>
      <t>d.</t>
    </r>
    <r>
      <rPr>
        <sz val="7"/>
        <rFont val="Times New Roman"/>
        <family val="1"/>
      </rPr>
      <t xml:space="preserve">      </t>
    </r>
    <r>
      <rPr>
        <sz val="12"/>
        <rFont val="Times New Roman"/>
        <family val="1"/>
      </rPr>
      <t xml:space="preserve"> Before printing, review the selected hearing notice to ensure the information has accurately populated and the figures are correct. Print the page, have an official sign it, and submit to the local newspaper for printing. For those municipalities that are electronically sending the summary to the newspaper, you can type in the official name before sending.  Signing the document is desired, but not signing will not cause the municipality to reprint. </t>
    </r>
    <r>
      <rPr>
        <b/>
        <sz val="12"/>
        <rFont val="Times New Roman"/>
        <family val="1"/>
      </rPr>
      <t>WARNING</t>
    </r>
    <r>
      <rPr>
        <sz val="12"/>
        <rFont val="Times New Roman"/>
        <family val="1"/>
      </rPr>
      <t>: The newspaper publication must occur at least 10 days prior to the hearing date.  If the newspaper publication is not at least 10 days prior to the hearing, the municipality may need to republish.</t>
    </r>
  </si>
  <si>
    <t xml:space="preserve">Once the hearing notice has been printed in the local newspaper, please review the notice to ensure the information was correctly printed and readable.  If the information is not correct, the notice may need to be republished, and may delay the submission of the budget to the County Clerk and the timeline prescribed by KSA 79-2988 to exceed the RNR. </t>
  </si>
  <si>
    <r>
      <t>12.</t>
    </r>
    <r>
      <rPr>
        <sz val="12"/>
        <rFont val="Times New Roman"/>
        <family val="1"/>
      </rPr>
      <t xml:space="preserve"> </t>
    </r>
    <r>
      <rPr>
        <u/>
        <sz val="12"/>
        <rFont val="Times New Roman"/>
        <family val="1"/>
      </rPr>
      <t>Neighborhood Revitalization (NR Rebate)</t>
    </r>
    <r>
      <rPr>
        <sz val="12"/>
        <rFont val="Times New Roman"/>
        <family val="1"/>
      </rPr>
      <t xml:space="preserve">: This document should be completed only after all tax levy fund pages have been completed and the estimated levy rates have been computed on the Budget Summary page.  The ad valorem amounts for each fund will be input into the neighborhood revitalization tool.  The tool will compute the estimated amount of rebate and populate the estimated rebate to each tax levy fund page. This will cause each tax levy fund to have an entry in the neighborhood revitalization expenditure cell, increase the total expenditures amount, recompute the ad valorem needed, and populate the new amount to the hearing notice page.  </t>
    </r>
  </si>
  <si>
    <r>
      <t>Note</t>
    </r>
    <r>
      <rPr>
        <sz val="12"/>
        <rFont val="Times New Roman"/>
        <family val="1"/>
      </rPr>
      <t>: If you had already set the ad valorem taxes so that they were equal to or below the Revenue Neutral Rate (RNR), the neighborhood revitalization rebate could cause the ad valorem tax amount to exceed RNR. If this occurs, you have three options:1) accept the rebate expenditures and pass the RNR resolution; 2) accept the rebate expenditures and reduce other expenditures to reduce ad valorem tax dollars below the RNR threshold; or 3) do not use the rebate expenditures by deleting the ad valorem taxes that were keyed into the Neighborhood Revitalization tool.</t>
    </r>
  </si>
  <si>
    <r>
      <t>a.</t>
    </r>
    <r>
      <rPr>
        <sz val="7"/>
        <rFont val="Times New Roman"/>
        <family val="1"/>
      </rPr>
      <t xml:space="preserve">       </t>
    </r>
    <r>
      <rPr>
        <sz val="12"/>
        <rFont val="Times New Roman"/>
        <family val="1"/>
      </rPr>
      <t xml:space="preserve">You are </t>
    </r>
    <r>
      <rPr>
        <i/>
        <sz val="12"/>
        <rFont val="Times New Roman"/>
        <family val="1"/>
      </rPr>
      <t>not</t>
    </r>
    <r>
      <rPr>
        <sz val="12"/>
        <rFont val="Times New Roman"/>
        <family val="1"/>
      </rPr>
      <t xml:space="preserve"> required to use the Neighborhood Revitalization tool. The tool can be used to estimate the amount of the rebate so that you will have an idea of the amount of ad valorem taxes you will not be receiving. If the municipality chooses not to use the tool, another method of estimating the Neighborhood Revitalization rebate impact should be substituted.</t>
    </r>
  </si>
  <si>
    <r>
      <t>b.</t>
    </r>
    <r>
      <rPr>
        <sz val="7"/>
        <rFont val="Times New Roman"/>
        <family val="1"/>
      </rPr>
      <t xml:space="preserve">      </t>
    </r>
    <r>
      <rPr>
        <sz val="12"/>
        <rFont val="Times New Roman"/>
        <family val="1"/>
      </rPr>
      <t xml:space="preserve"> If you do not have Neighborhood Revitalization, you do not need to include this page with the adopted budget submitted to the County Clerk. </t>
    </r>
  </si>
  <si>
    <r>
      <t>13.</t>
    </r>
    <r>
      <rPr>
        <sz val="12"/>
        <rFont val="Times New Roman"/>
        <family val="1"/>
      </rPr>
      <t xml:space="preserve">  Before submission of the budget to the County Clerk, please review the entire document and verify that all amounts are correct.  In addition, the Certificate page needs to be signed by at least one member of the governing body (signatures from the entire governing body are preferred, but not mandatory). </t>
    </r>
  </si>
  <si>
    <r>
      <t>14.</t>
    </r>
    <r>
      <rPr>
        <sz val="12"/>
        <rFont val="Times New Roman"/>
        <family val="1"/>
      </rPr>
      <t xml:space="preserve">  How to Protect and Unprotect a Worksheet: To Unprotect a worksheet, right-click on the tab and select Unprotect Sheet. </t>
    </r>
    <r>
      <rPr>
        <b/>
        <sz val="12"/>
        <color rgb="FFFF0000"/>
        <rFont val="Times New Roman"/>
        <family val="1"/>
      </rPr>
      <t xml:space="preserve">After changes are made you must protect the worksheet. </t>
    </r>
    <r>
      <rPr>
        <sz val="12"/>
        <color rgb="FFFF0000"/>
        <rFont val="Times New Roman"/>
        <family val="1"/>
      </rPr>
      <t xml:space="preserve"> </t>
    </r>
    <r>
      <rPr>
        <sz val="12"/>
        <rFont val="Times New Roman"/>
        <family val="1"/>
      </rPr>
      <t xml:space="preserve">Right click on the tab, select Protect Sheet and hit OK. You do not need to enter a password. Select OK. </t>
    </r>
  </si>
  <si>
    <t>From the Municipal Services Website (Budget Workbooks and Tax Estimates):</t>
  </si>
  <si>
    <t>Public Hearing Input Options</t>
  </si>
  <si>
    <t>Input Examples</t>
  </si>
  <si>
    <r>
      <t xml:space="preserve">This tab will populate the date, time and location of the public hearing on the selected hearing pages, as well as other required information. Please enter the relevant information in the GREEN cells.
Please review the sections below to determine which hearing notice best fits the needs of the taxing subdivision.  Please contact Municipal Services with questions. 
</t>
    </r>
    <r>
      <rPr>
        <b/>
        <sz val="12"/>
        <rFont val="Times New Roman"/>
        <family val="1"/>
      </rPr>
      <t xml:space="preserve">WARNING: Prior to providing newspaper with hearing notice, review all of the information has properly been input and linked to the publication draft. </t>
    </r>
    <r>
      <rPr>
        <sz val="12"/>
        <rFont val="Times New Roman"/>
        <family val="1"/>
      </rPr>
      <t xml:space="preserve">
</t>
    </r>
  </si>
  <si>
    <t>August 12, 2022</t>
  </si>
  <si>
    <t>Budget Hearing Notice Only</t>
  </si>
  <si>
    <t xml:space="preserve">Taxing subdivisions that do not require a hearing to exceed the revenue neutral rate or will hold/publish the rate hearing separately from the budget hearing, please complete the information in green cells of the "Budget Hearing Notice Only" section. 
You will print the tab "Budget Hearing Notice" and publish this notice in the newspaper at least 10 days prior to the budget hearing. </t>
  </si>
  <si>
    <t xml:space="preserve">Reminder: The notice of hearing must be published at least 10 days prior to hearing date. </t>
  </si>
  <si>
    <t>Budget Available at:</t>
  </si>
  <si>
    <t>Combined Revenue Neutral Rate &amp; Budget Hearing Notice</t>
  </si>
  <si>
    <t xml:space="preserve">Taxing subdivisions that wish to hold a hearing to exceed the revenue neutral rate in conjunction with the regular budget hearing should complete the green cells in the section called "Combined Rate &amp; Budget Hearing Notice". 
You will print the tab called "Combined Rate-Bud Hearing Notice" and publish this notice in the newspaper at least 10 days prior to the hearing date. Addittionally, the taxing subdivision will publish a notice of hearing to exceed the RNR to their website (if maintained).  </t>
  </si>
  <si>
    <t>`</t>
  </si>
  <si>
    <t>Hearing to Exceed the Revenue Neutral Rate Notice Only</t>
  </si>
  <si>
    <t xml:space="preserve">If the taxing subdivisin wishes to hold or publish the hearing to exceed the revenue neutral rate separate from the budget hearing, the subdivision may choose the alternate publication "Hearing to Exceed the Revenue Neutral Rate". Note: If using this option, the subdivision MUST also publish the buget hearing notice. </t>
  </si>
  <si>
    <t>RNR Hearing Notice</t>
  </si>
  <si>
    <r>
      <t xml:space="preserve">As provided in KSA 75-2553 </t>
    </r>
    <r>
      <rPr>
        <i/>
        <sz val="12"/>
        <rFont val="Times New Roman"/>
        <family val="1"/>
      </rPr>
      <t>et seq.,</t>
    </r>
    <r>
      <rPr>
        <sz val="12"/>
        <rFont val="Times New Roman"/>
        <family val="1"/>
      </rPr>
      <t xml:space="preserve"> two tests are used to determine eligibility for State Library Grant.  If the grant is approved, then the municipality's library will be paid the grant on February 15 of  each year.</t>
    </r>
  </si>
  <si>
    <t>** Note: These two block figures should agree.</t>
  </si>
  <si>
    <t>Estimated Mill Rate &amp;
 Revenue Neutral Rate Comparison</t>
  </si>
  <si>
    <t>Revenue Neutral Rate (KSA 79-2988)</t>
  </si>
  <si>
    <t>Is a rate hearing/resolution required:</t>
  </si>
  <si>
    <t>** Revenue Neutral Rate as defined by KSA 79-2988</t>
  </si>
  <si>
    <t xml:space="preserve">Is rate hearing/resolution required to exceed Revenue Neutral Rate? </t>
  </si>
  <si>
    <t>Actual Tax Rate*</t>
  </si>
  <si>
    <t>Budget Authority for Expenditures</t>
  </si>
  <si>
    <t>Proposed Estimated Tax Rate*</t>
  </si>
  <si>
    <t>NOTICE OF HEARING TO EXCEED REVENUE NEUTRAL RATE</t>
  </si>
  <si>
    <t>answering objections of taxpayers relating to revenue neutral rate and proposed tax rate, as required by KSA 79-2988.</t>
  </si>
  <si>
    <t>SUPPORTING COUNTIES</t>
  </si>
  <si>
    <t>Revenue Neutral Rate*</t>
  </si>
  <si>
    <t>Proposed Tax Rate</t>
  </si>
  <si>
    <t>Tax Rates are expressed in mills</t>
  </si>
  <si>
    <t>* Revenue Netural Rate as defined by KSA 79-2988</t>
  </si>
  <si>
    <t>NOTICE OF HEARING TO EXCEED REVENUE NEUTRAL RATE AND BUDGET HEARING</t>
  </si>
  <si>
    <t>answering objections of taxpayers relating to the proposed use of all funds and the amount of ad valorem tax.</t>
  </si>
  <si>
    <t>completing the Neighborhood Revitalization Rebate table.</t>
  </si>
  <si>
    <t>Resolution No. ______</t>
  </si>
  <si>
    <t>A RESOLUTION OF THE CITY OF __________, KANSAS TO LEVY A PROPERTY TAX RATE EXCEEDING THE REVENUE NEUTRAL RATE;</t>
  </si>
  <si>
    <r>
      <t xml:space="preserve">           </t>
    </r>
    <r>
      <rPr>
        <b/>
        <sz val="12"/>
        <rFont val="Times New Roman"/>
        <family val="1"/>
      </rPr>
      <t>WHEREAS</t>
    </r>
    <r>
      <rPr>
        <sz val="12"/>
        <rFont val="Times New Roman"/>
        <family val="1"/>
      </rPr>
      <t>, the Revenue Neutral Rate for the City of __________ was calculated as _________ mills by the ____________ County Clerk; and</t>
    </r>
  </si>
  <si>
    <r>
      <t xml:space="preserve">           </t>
    </r>
    <r>
      <rPr>
        <b/>
        <sz val="12"/>
        <rFont val="Times New Roman"/>
        <family val="1"/>
      </rPr>
      <t>WHEREAS</t>
    </r>
    <r>
      <rPr>
        <sz val="12"/>
        <rFont val="Times New Roman"/>
        <family val="1"/>
      </rPr>
      <t>, the budget proposed by the Governing Body of the City of __________ will require the levy of a property tax rate exceeding the Revenue Neutral Rate; and</t>
    </r>
  </si>
  <si>
    <r>
      <t xml:space="preserve">           </t>
    </r>
    <r>
      <rPr>
        <b/>
        <sz val="12"/>
        <rFont val="Times New Roman"/>
        <family val="1"/>
      </rPr>
      <t>WHEREAS</t>
    </r>
    <r>
      <rPr>
        <sz val="12"/>
        <rFont val="Times New Roman"/>
        <family val="1"/>
      </rPr>
      <t>, the Governing Body held a hearing on _________ (Insert Date) allowing all interested taxpayers desiring to be heard an opportunity to give oral testimony; and</t>
    </r>
  </si>
  <si>
    <r>
      <t xml:space="preserve">          </t>
    </r>
    <r>
      <rPr>
        <b/>
        <sz val="12"/>
        <rFont val="Times New Roman"/>
        <family val="1"/>
      </rPr>
      <t>WHEREAS</t>
    </r>
    <r>
      <rPr>
        <sz val="12"/>
        <rFont val="Times New Roman"/>
        <family val="1"/>
      </rPr>
      <t>, the Governing Body of the City of ____________, having heard testimony, still finds it necessary to exceed the Revenue Neutral Rate.</t>
    </r>
  </si>
  <si>
    <t xml:space="preserve">          NOW, THEREFORE, BE IT RESOLVED BY THE GOVERNING BODY OF THE CITY OF __________:</t>
  </si>
  <si>
    <t xml:space="preserve">          The City of _________ shall levy a property tax rate exceeding the Revenue Neutral Rate of _________ mills.</t>
  </si>
  <si>
    <t>This resolution shall take effect and be in force immediately upon its adoption and shall remain in effect until future action is taken by the Governing Body.</t>
  </si>
  <si>
    <r>
      <t xml:space="preserve">          </t>
    </r>
    <r>
      <rPr>
        <b/>
        <sz val="12"/>
        <rFont val="Times New Roman"/>
        <family val="1"/>
      </rPr>
      <t>ADOPTED</t>
    </r>
    <r>
      <rPr>
        <sz val="12"/>
        <rFont val="Times New Roman"/>
        <family val="1"/>
      </rPr>
      <t xml:space="preserve"> this ____ day of ___________ (month and year) and SIGNED by the Mayor.</t>
    </r>
  </si>
  <si>
    <t xml:space="preserve">          _____________________________</t>
  </si>
  <si>
    <t xml:space="preserve">          Mayor</t>
  </si>
  <si>
    <t xml:space="preserve">          Attested:</t>
  </si>
  <si>
    <t xml:space="preserve">          ______________________________</t>
  </si>
  <si>
    <t xml:space="preserve">          City Clerk</t>
  </si>
  <si>
    <t>Notice of Revenue Neutral Rate Intent</t>
  </si>
  <si>
    <t>THE GOVERNING BODY OF ________________________, HEREBY NOTIFIES THE ___________ COUNTY CLERK OF INTENT TO EXCEED THE REVENUE NEUTRAL RATE;</t>
  </si>
  <si>
    <t>Yes, we intend to exceed the Revenue Neutral Rate and our proposed mill levy rate is _________.  The date of our hearing is ___________ at _____ AM/PM and will be held at ________________ address in _____________, Kansas.</t>
  </si>
  <si>
    <t>No, we do not plan to exceed the Revenue Neutral Rate and will submit our budget to the County Clerk on or before August 25, 20___.</t>
  </si>
  <si>
    <t>WITNESS my hand and official seal on ____________, 20___.</t>
  </si>
  <si>
    <t>(Seal)</t>
  </si>
  <si>
    <t>Clerk or Officer of Governing Body</t>
  </si>
  <si>
    <r>
      <t xml:space="preserve">If the municipality financial records have </t>
    </r>
    <r>
      <rPr>
        <b/>
        <u/>
        <sz val="12"/>
        <rFont val="Times New Roman"/>
        <family val="1"/>
      </rPr>
      <t>not been</t>
    </r>
    <r>
      <rPr>
        <sz val="12"/>
        <rFont val="Times New Roman"/>
        <family val="1"/>
      </rPr>
      <t xml:space="preserve"> closed</t>
    </r>
  </si>
  <si>
    <r>
      <t xml:space="preserve">receipt, show the reimbursement as a negative </t>
    </r>
    <r>
      <rPr>
        <i/>
        <sz val="12"/>
        <rFont val="Times New Roman"/>
        <family val="1"/>
      </rPr>
      <t>expenditure</t>
    </r>
    <r>
      <rPr>
        <sz val="12"/>
        <rFont val="Times New Roman"/>
        <family val="1"/>
      </rPr>
      <t>.</t>
    </r>
  </si>
  <si>
    <t>Tab A</t>
  </si>
  <si>
    <r>
      <t>left of the 'See Tab B' as follows:  "</t>
    </r>
    <r>
      <rPr>
        <i/>
        <u/>
        <sz val="12"/>
        <rFont val="Times New Roman"/>
        <family val="1"/>
      </rPr>
      <t>10-1116 applies.</t>
    </r>
    <r>
      <rPr>
        <sz val="12"/>
        <rFont val="Times New Roman"/>
        <family val="1"/>
      </rPr>
      <t>"</t>
    </r>
  </si>
  <si>
    <t>Tab B</t>
  </si>
  <si>
    <t>Tab C</t>
  </si>
  <si>
    <t>Tab D</t>
  </si>
  <si>
    <t>Tab E</t>
  </si>
  <si>
    <t>https://admin.ks.gov/offices/accounts-reports/local-government/municipal-services</t>
  </si>
  <si>
    <t>https://admin.ks.gov/offices/accounts-reports/state-agencies/finance/setoff-program</t>
  </si>
  <si>
    <t>League of Kansas Municipalities</t>
  </si>
  <si>
    <t>https://www.lkm.org/</t>
  </si>
  <si>
    <t>http://www.kslegislature.org/li/</t>
  </si>
  <si>
    <t>https://ag.ks.gov/media-center/ag-opinions</t>
  </si>
  <si>
    <t>Kansas State Treasurer</t>
  </si>
  <si>
    <t>https://www.kansasstatetreasurer.com/fin_serv.html</t>
  </si>
  <si>
    <t>https://www.ksrevenue.gov/</t>
  </si>
  <si>
    <t>https://www.ksrevenue.gov/pvdindex.html</t>
  </si>
  <si>
    <t>https://pooledmoneyinvestmentboard.com/</t>
  </si>
  <si>
    <t xml:space="preserve">1. Budget instructions were updated. </t>
  </si>
  <si>
    <t>2. Basic and consistent formatting throughout (including updating fonts, consistent language and print areas)</t>
  </si>
  <si>
    <t>3. Removed (by hiding rows - data is still present in background) new improvements, personal property, terrotory added, changed use, and expiration of tax abatements on "Input Oth" tab</t>
  </si>
  <si>
    <t>4. Updated budget hearing input tab to include inputs for combined hearing notice and rate only notice. Retitled tab "InputBudHearing"</t>
  </si>
  <si>
    <t>5. Updated Budget Hearing Tab formating and consistency</t>
  </si>
  <si>
    <t xml:space="preserve">6. Added alternate Combined Rate and Budget Hearing notice tab for subdivisions that will publish and hold the RNR rate and budget hearing in conjunction with eachother. </t>
  </si>
  <si>
    <t>7. Added RNR Hearing Notice for an optional publication for the RNR hearing only</t>
  </si>
  <si>
    <t xml:space="preserve">8. Added sample resolution to exceed RNR and sample notice to county clerk to report intention to exceed RNR. </t>
  </si>
  <si>
    <t xml:space="preserve">9. Updated helpful links to provide accurate weblinks. </t>
  </si>
  <si>
    <t>***If leasing/renting with no intent to purchase, do not list--such transactions are not lease-purchases.</t>
  </si>
  <si>
    <t xml:space="preserve">Revenue Neutral Rate </t>
  </si>
  <si>
    <t>Final Tax Rate (County Clerk's Use Only)</t>
  </si>
  <si>
    <t>_______________________   _________________________</t>
  </si>
  <si>
    <t xml:space="preserve">answering objections of taxpayers relating to the proposed use of all funds,  the amount of ad valorem tax, and the Revenue Neutral Rate. </t>
  </si>
  <si>
    <t>Budget Hearing Notice</t>
  </si>
  <si>
    <t>Combined Rate and Budget Hearing Notice</t>
  </si>
  <si>
    <t>The following changes were made to this workbook during March 2022</t>
  </si>
  <si>
    <t xml:space="preserve">10. Added RNR to Certificate for comparison to final rate. </t>
  </si>
  <si>
    <t>Valley Falls</t>
  </si>
  <si>
    <t>Jefferson</t>
  </si>
  <si>
    <t>Bond &amp; Interest</t>
  </si>
  <si>
    <t xml:space="preserve">RHID </t>
  </si>
  <si>
    <t>Water Utility</t>
  </si>
  <si>
    <t>Sewer Utility</t>
  </si>
  <si>
    <t xml:space="preserve">Solid Waste Utility </t>
  </si>
  <si>
    <t>Capital Improvement</t>
  </si>
  <si>
    <t>Municipal Equipment Reserve</t>
  </si>
  <si>
    <t>Swimming Pool Reserve</t>
  </si>
  <si>
    <t>Water Reserve</t>
  </si>
  <si>
    <t>Sewer Reserve</t>
  </si>
  <si>
    <t>Insurance Reserve</t>
  </si>
  <si>
    <t xml:space="preserve">Capital Improvement </t>
  </si>
  <si>
    <t>Audree Guzman</t>
  </si>
  <si>
    <t>City Administrator</t>
  </si>
  <si>
    <t xml:space="preserve">6:30 PM </t>
  </si>
  <si>
    <t>City Hall - 417 Broadway St, Valley Falls, KS 66088</t>
  </si>
  <si>
    <t xml:space="preserve">City Hall </t>
  </si>
  <si>
    <t>Sewer Fund</t>
  </si>
  <si>
    <t>Water Fund</t>
  </si>
  <si>
    <t>General Fund</t>
  </si>
  <si>
    <t>Municipal Equipment</t>
  </si>
  <si>
    <t>KSA 12-825d</t>
  </si>
  <si>
    <t>KSA 12-1,117</t>
  </si>
  <si>
    <t>KSA 12-1,118</t>
  </si>
  <si>
    <t>Swimming Pool</t>
  </si>
  <si>
    <t>State Revenues</t>
  </si>
  <si>
    <t>Sales Tax</t>
  </si>
  <si>
    <t>Liquor Tax</t>
  </si>
  <si>
    <t>In Lieu of Taxes</t>
  </si>
  <si>
    <t>Special Assessments</t>
  </si>
  <si>
    <t>Grants &amp; Donations</t>
  </si>
  <si>
    <t>Service Fees</t>
  </si>
  <si>
    <t>Permits/ Licenses</t>
  </si>
  <si>
    <t>Franchise Fees</t>
  </si>
  <si>
    <t>Restitution</t>
  </si>
  <si>
    <t>Court Fines and Fees</t>
  </si>
  <si>
    <t>RV Park Rent</t>
  </si>
  <si>
    <t>Swimming Pool Receipts</t>
  </si>
  <si>
    <t>Swim Pool - Snack Concession</t>
  </si>
  <si>
    <t>Swimming Pool- Pool Parties</t>
  </si>
  <si>
    <t>Swimming Pool Lessons</t>
  </si>
  <si>
    <t>Lifeguard/ CPR/ First Aid</t>
  </si>
  <si>
    <t>Season Tickets</t>
  </si>
  <si>
    <t>Landbank/ Planning Commission</t>
  </si>
  <si>
    <t>Transfer from Water</t>
  </si>
  <si>
    <t>Transfer from Solid Waste</t>
  </si>
  <si>
    <t>Transfer from Sewer</t>
  </si>
  <si>
    <t>Interest Income</t>
  </si>
  <si>
    <t>AR/ Reimbursed Income</t>
  </si>
  <si>
    <t>RHID</t>
  </si>
  <si>
    <t>Micellaneous Income</t>
  </si>
  <si>
    <t>Carryover</t>
  </si>
  <si>
    <t>Administration</t>
  </si>
  <si>
    <t>Police</t>
  </si>
  <si>
    <t>Municipal Court</t>
  </si>
  <si>
    <t>Streets</t>
  </si>
  <si>
    <t>Parks</t>
  </si>
  <si>
    <t>Municipal Pool</t>
  </si>
  <si>
    <t>Transfer to Municipal Equipment Reserve</t>
  </si>
  <si>
    <t>Transfer to Capital Improvement</t>
  </si>
  <si>
    <t>Capital Outlay</t>
  </si>
  <si>
    <t xml:space="preserve">Principal Payment </t>
  </si>
  <si>
    <t>Interest Payment</t>
  </si>
  <si>
    <t>Service Fee</t>
  </si>
  <si>
    <t>Connecting Links</t>
  </si>
  <si>
    <t>Grants</t>
  </si>
  <si>
    <t>Street Repair and Maint</t>
  </si>
  <si>
    <t>Special Assessment/ RHID</t>
  </si>
  <si>
    <t>Meter Setting</t>
  </si>
  <si>
    <t>Meter Connection</t>
  </si>
  <si>
    <t>Utility Reciepts</t>
  </si>
  <si>
    <t>Utility Penalties</t>
  </si>
  <si>
    <t>Utility Sales Tax</t>
  </si>
  <si>
    <t>Transfer to General</t>
  </si>
  <si>
    <t>Transfer to Equipment Reserve</t>
  </si>
  <si>
    <t>Transfer to Fund Reserve</t>
  </si>
  <si>
    <t>Transfer to Bond &amp; Interest</t>
  </si>
  <si>
    <t>High Volume Sales</t>
  </si>
  <si>
    <t>AR/ Reimbursed</t>
  </si>
  <si>
    <t>Charges for Services</t>
  </si>
  <si>
    <t>Contractual</t>
  </si>
  <si>
    <t>Federal Receipts</t>
  </si>
  <si>
    <t>Revenue</t>
  </si>
  <si>
    <t>6:30 PM</t>
  </si>
  <si>
    <t>September 14,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</si>
</sst>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3" formatCode="_(* #,##0.00_);_(* \(#,##0.00\);_(* &quot;-&quot;??_);_(@_)"/>
    <numFmt numFmtId="164" formatCode="0.000_)"/>
    <numFmt numFmtId="165" formatCode="0.00000_)"/>
    <numFmt numFmtId="166" formatCode="0_)"/>
    <numFmt numFmtId="167" formatCode="m/d/yy"/>
    <numFmt numFmtId="168" formatCode="m/d"/>
    <numFmt numFmtId="169" formatCode="_(* #,##0_);_(* \(#,##0\);_(* &quot;-&quot;??_);_(@_)"/>
    <numFmt numFmtId="170" formatCode="0.000"/>
    <numFmt numFmtId="171" formatCode="0.000%"/>
    <numFmt numFmtId="172" formatCode="#,##0.000"/>
    <numFmt numFmtId="173" formatCode="&quot;$&quot;#,##0"/>
    <numFmt numFmtId="174" formatCode="&quot;$&quot;#,##0.00"/>
    <numFmt numFmtId="175" formatCode="#,###"/>
    <numFmt numFmtId="176" formatCode="0.0%"/>
    <numFmt numFmtId="177" formatCode="#,##0.000_);[Red]\(#,##0.000\)"/>
  </numFmts>
  <fonts count="58" x14ac:knownFonts="1">
    <font>
      <sz val="12"/>
      <name val="Courier"/>
    </font>
    <font>
      <b/>
      <sz val="12"/>
      <name val="Courier"/>
    </font>
    <font>
      <sz val="12"/>
      <name val="Courier"/>
      <family val="3"/>
    </font>
    <font>
      <b/>
      <sz val="12"/>
      <name val="Times New Roman"/>
      <family val="1"/>
    </font>
    <font>
      <sz val="12"/>
      <name val="Times New Roman"/>
      <family val="1"/>
    </font>
    <font>
      <u/>
      <sz val="12"/>
      <name val="Times New Roman"/>
      <family val="1"/>
    </font>
    <font>
      <sz val="11"/>
      <name val="Times New Roman"/>
      <family val="1"/>
    </font>
    <font>
      <sz val="9"/>
      <name val="Times New Roman"/>
      <family val="1"/>
    </font>
    <font>
      <u/>
      <sz val="12"/>
      <color indexed="12"/>
      <name val="Courier"/>
      <family val="3"/>
    </font>
    <font>
      <sz val="8"/>
      <name val="Courier"/>
      <family val="3"/>
    </font>
    <font>
      <b/>
      <u/>
      <sz val="12"/>
      <name val="Times New Roman"/>
      <family val="1"/>
    </font>
    <font>
      <sz val="8"/>
      <name val="Times New Roman"/>
      <family val="1"/>
    </font>
    <font>
      <b/>
      <u/>
      <sz val="12"/>
      <color indexed="10"/>
      <name val="Times New Roman"/>
      <family val="1"/>
    </font>
    <font>
      <b/>
      <u/>
      <sz val="12"/>
      <name val="Courier"/>
      <family val="3"/>
    </font>
    <font>
      <sz val="12"/>
      <color indexed="10"/>
      <name val="Times New Roman"/>
      <family val="1"/>
    </font>
    <font>
      <b/>
      <sz val="8"/>
      <name val="Times New Roman"/>
      <family val="1"/>
    </font>
    <font>
      <sz val="12"/>
      <color indexed="10"/>
      <name val="Courier"/>
      <family val="3"/>
    </font>
    <font>
      <i/>
      <sz val="12"/>
      <name val="Times New Roman"/>
      <family val="1"/>
    </font>
    <font>
      <b/>
      <sz val="12"/>
      <color indexed="10"/>
      <name val="Times New Roman"/>
      <family val="1"/>
    </font>
    <font>
      <b/>
      <sz val="11"/>
      <name val="Times New Roman"/>
      <family val="1"/>
    </font>
    <fon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sz val="14"/>
      <name val="Times New Roman"/>
      <family val="1"/>
    </font>
    <font>
      <b/>
      <u/>
      <sz val="8"/>
      <color indexed="10"/>
      <name val="Times New Roman"/>
      <family val="1"/>
    </font>
    <font>
      <sz val="12"/>
      <name val="Courier New"/>
      <family val="3"/>
    </font>
    <font>
      <b/>
      <sz val="12"/>
      <name val="Courier"/>
      <family val="3"/>
    </font>
    <font>
      <sz val="12"/>
      <name val="Courier New"/>
      <family val="3"/>
    </font>
    <font>
      <u/>
      <sz val="12"/>
      <color indexed="12"/>
      <name val="Courier New"/>
      <family val="3"/>
    </font>
    <font>
      <sz val="10"/>
      <name val="Times New Roman"/>
      <family val="1"/>
    </font>
    <font>
      <b/>
      <u/>
      <sz val="10"/>
      <name val="Times New Roman"/>
      <family val="1"/>
    </font>
    <font>
      <b/>
      <sz val="10"/>
      <name val="Times New Roman"/>
      <family val="1"/>
    </font>
    <font>
      <sz val="8"/>
      <color indexed="10"/>
      <name val="Times New Roman"/>
      <family val="1"/>
    </font>
    <font>
      <b/>
      <u/>
      <sz val="8"/>
      <name val="Times New Roman"/>
      <family val="1"/>
    </font>
    <font>
      <b/>
      <sz val="11"/>
      <color indexed="8"/>
      <name val="Cambria"/>
      <family val="1"/>
    </font>
    <font>
      <sz val="11"/>
      <name val="Cambria"/>
      <family val="1"/>
    </font>
    <font>
      <b/>
      <sz val="13"/>
      <name val="Times New Roman"/>
      <family val="1"/>
    </font>
    <font>
      <u/>
      <sz val="12"/>
      <color indexed="12"/>
      <name val="Times New Roman"/>
      <family val="1"/>
    </font>
    <font>
      <sz val="10"/>
      <name val="Courier"/>
      <family val="3"/>
    </font>
    <font>
      <sz val="10"/>
      <color indexed="10"/>
      <name val="Times New Roman"/>
      <family val="1"/>
    </font>
    <font>
      <sz val="11"/>
      <color theme="1"/>
      <name val="Calibri"/>
      <family val="2"/>
      <scheme val="minor"/>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sz val="12"/>
      <color rgb="FF000000"/>
      <name val="Times New Roman"/>
      <family val="1"/>
    </font>
    <font>
      <sz val="9"/>
      <color rgb="FFFF0000"/>
      <name val="Times New Roman"/>
      <family val="1"/>
    </font>
    <font>
      <sz val="12"/>
      <color rgb="FFFF0000"/>
      <name val="Times New Roman"/>
      <family val="1"/>
    </font>
    <font>
      <sz val="10"/>
      <color rgb="FFFF0000"/>
      <name val="Times New Roman"/>
      <family val="1"/>
    </font>
    <font>
      <b/>
      <u/>
      <sz val="12"/>
      <color rgb="FFFF0000"/>
      <name val="Times New Roman"/>
      <family val="1"/>
    </font>
    <font>
      <u/>
      <vertAlign val="superscript"/>
      <sz val="12"/>
      <name val="Times New Roman"/>
      <family val="1"/>
    </font>
    <font>
      <sz val="11"/>
      <name val="Calibri"/>
      <family val="2"/>
    </font>
    <font>
      <sz val="7"/>
      <name val="Times New Roman"/>
      <family val="1"/>
    </font>
    <font>
      <b/>
      <sz val="16"/>
      <name val="Times New Roman"/>
      <family val="1"/>
    </font>
    <font>
      <b/>
      <u/>
      <sz val="16"/>
      <name val="Times New Roman"/>
      <family val="1"/>
    </font>
    <font>
      <sz val="14"/>
      <name val="Times New Roman"/>
      <family val="1"/>
    </font>
    <font>
      <i/>
      <u/>
      <sz val="12"/>
      <name val="Times New Roman"/>
      <family val="1"/>
    </font>
  </fonts>
  <fills count="20">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5"/>
        <bgColor indexed="64"/>
      </patternFill>
    </fill>
    <fill>
      <patternFill patternType="solid">
        <fgColor indexed="10"/>
        <bgColor indexed="64"/>
      </patternFill>
    </fill>
    <fill>
      <patternFill patternType="solid">
        <fgColor indexed="35"/>
        <bgColor indexed="64"/>
      </patternFill>
    </fill>
    <fill>
      <patternFill patternType="solid">
        <fgColor indexed="11"/>
      </patternFill>
    </fill>
    <fill>
      <patternFill patternType="solid">
        <fgColor indexed="43"/>
        <bgColor indexed="64"/>
      </patternFill>
    </fill>
    <fill>
      <patternFill patternType="solid">
        <fgColor indexed="13"/>
        <bgColor indexed="64"/>
      </patternFill>
    </fill>
    <fill>
      <patternFill patternType="solid">
        <fgColor indexed="34"/>
        <bgColor indexed="64"/>
      </patternFill>
    </fill>
    <fill>
      <patternFill patternType="solid">
        <fgColor indexed="41"/>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FFFF00"/>
        <bgColor indexed="64"/>
      </patternFill>
    </fill>
    <fill>
      <patternFill patternType="solid">
        <fgColor rgb="FF00FFFF"/>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s>
  <cellStyleXfs count="514">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 fillId="0" borderId="0"/>
    <xf numFmtId="0" fontId="26" fillId="0" borderId="0"/>
    <xf numFmtId="0" fontId="2" fillId="0" borderId="0"/>
    <xf numFmtId="0" fontId="2"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 fillId="0" borderId="0"/>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6" fillId="0" borderId="0"/>
    <xf numFmtId="0" fontId="28" fillId="0" borderId="0"/>
    <xf numFmtId="0" fontId="26" fillId="0" borderId="0"/>
    <xf numFmtId="0" fontId="26" fillId="0" borderId="0"/>
    <xf numFmtId="0" fontId="26" fillId="0" borderId="0"/>
    <xf numFmtId="0" fontId="26" fillId="0" borderId="0"/>
    <xf numFmtId="0" fontId="2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6" fillId="0" borderId="0"/>
    <xf numFmtId="0" fontId="2" fillId="0" borderId="0"/>
    <xf numFmtId="0" fontId="26" fillId="0" borderId="0"/>
    <xf numFmtId="0" fontId="26" fillId="0" borderId="0"/>
    <xf numFmtId="0" fontId="26" fillId="0" borderId="0"/>
    <xf numFmtId="0" fontId="26" fillId="0" borderId="0"/>
    <xf numFmtId="0" fontId="2" fillId="0" borderId="0"/>
    <xf numFmtId="0" fontId="26" fillId="0" borderId="0"/>
    <xf numFmtId="0" fontId="2" fillId="0" borderId="0"/>
    <xf numFmtId="0" fontId="26" fillId="0" borderId="0"/>
    <xf numFmtId="0" fontId="26"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 fillId="0" borderId="0"/>
    <xf numFmtId="0" fontId="26" fillId="0" borderId="0"/>
    <xf numFmtId="0" fontId="2" fillId="0" borderId="0"/>
    <xf numFmtId="0" fontId="2" fillId="0" borderId="0"/>
    <xf numFmtId="0" fontId="2" fillId="0" borderId="0"/>
    <xf numFmtId="0" fontId="26" fillId="0" borderId="0"/>
    <xf numFmtId="0" fontId="26" fillId="0" borderId="0"/>
    <xf numFmtId="0" fontId="2" fillId="0" borderId="0"/>
    <xf numFmtId="0" fontId="26" fillId="0" borderId="0"/>
    <xf numFmtId="0" fontId="2" fillId="0" borderId="0"/>
    <xf numFmtId="0" fontId="2" fillId="0" borderId="0"/>
    <xf numFmtId="0" fontId="2" fillId="0" borderId="0"/>
    <xf numFmtId="0" fontId="2" fillId="0" borderId="0"/>
    <xf numFmtId="0" fontId="26" fillId="0" borderId="0"/>
    <xf numFmtId="0" fontId="26"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6" fillId="0" borderId="0"/>
    <xf numFmtId="0" fontId="26"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6" fillId="0" borderId="0"/>
    <xf numFmtId="0" fontId="26" fillId="0" borderId="0"/>
    <xf numFmtId="0" fontId="2"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 fillId="0" borderId="0"/>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 fillId="0" borderId="0"/>
    <xf numFmtId="0" fontId="26" fillId="0" borderId="0"/>
    <xf numFmtId="0" fontId="26"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41" fillId="0" borderId="0"/>
    <xf numFmtId="0" fontId="41"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6"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 fillId="0" borderId="0"/>
    <xf numFmtId="0" fontId="26" fillId="0" borderId="0"/>
    <xf numFmtId="0" fontId="26" fillId="0" borderId="0"/>
    <xf numFmtId="0" fontId="26" fillId="0" borderId="0"/>
    <xf numFmtId="0" fontId="2" fillId="0" borderId="0"/>
    <xf numFmtId="0" fontId="26" fillId="0" borderId="0"/>
    <xf numFmtId="0" fontId="2" fillId="0" borderId="0"/>
    <xf numFmtId="0" fontId="26" fillId="0" borderId="0"/>
    <xf numFmtId="0" fontId="26"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 fillId="0" borderId="0"/>
    <xf numFmtId="0" fontId="26" fillId="0" borderId="0"/>
    <xf numFmtId="0" fontId="26" fillId="0" borderId="0"/>
    <xf numFmtId="0" fontId="2" fillId="0" borderId="0"/>
    <xf numFmtId="0" fontId="26" fillId="0" borderId="0"/>
    <xf numFmtId="0" fontId="26"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6" fillId="0" borderId="0"/>
    <xf numFmtId="0" fontId="26" fillId="0" borderId="0"/>
    <xf numFmtId="0" fontId="26" fillId="0" borderId="0"/>
    <xf numFmtId="0" fontId="2" fillId="0" borderId="0"/>
    <xf numFmtId="0" fontId="2" fillId="0" borderId="0"/>
    <xf numFmtId="0" fontId="2" fillId="0" borderId="0"/>
    <xf numFmtId="0" fontId="26" fillId="0" borderId="0"/>
    <xf numFmtId="0" fontId="2" fillId="0" borderId="0"/>
    <xf numFmtId="0" fontId="26" fillId="0" borderId="0"/>
    <xf numFmtId="0" fontId="26" fillId="0" borderId="0"/>
    <xf numFmtId="0" fontId="2" fillId="0" borderId="0"/>
    <xf numFmtId="0" fontId="2" fillId="0" borderId="0"/>
    <xf numFmtId="0" fontId="26" fillId="0" borderId="0"/>
    <xf numFmtId="0" fontId="26" fillId="0" borderId="0"/>
    <xf numFmtId="0" fontId="26" fillId="0" borderId="0"/>
    <xf numFmtId="0" fontId="26" fillId="0" borderId="0"/>
    <xf numFmtId="0" fontId="2"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6" fillId="0" borderId="0"/>
    <xf numFmtId="0" fontId="2" fillId="0" borderId="0"/>
    <xf numFmtId="0" fontId="26" fillId="0" borderId="0"/>
    <xf numFmtId="0" fontId="26" fillId="0" borderId="0"/>
    <xf numFmtId="0" fontId="26" fillId="0" borderId="0"/>
    <xf numFmtId="0" fontId="2"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6" fillId="0" borderId="0"/>
    <xf numFmtId="0" fontId="2" fillId="0" borderId="0"/>
    <xf numFmtId="0" fontId="2" fillId="0" borderId="0"/>
    <xf numFmtId="0" fontId="26" fillId="0" borderId="0"/>
    <xf numFmtId="0" fontId="2" fillId="0" borderId="0"/>
    <xf numFmtId="0" fontId="2" fillId="0" borderId="0"/>
  </cellStyleXfs>
  <cellXfs count="992">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wrapText="1"/>
    </xf>
    <xf numFmtId="37" fontId="10" fillId="3" borderId="0" xfId="0" applyNumberFormat="1" applyFont="1" applyFill="1" applyAlignment="1" applyProtection="1">
      <alignment horizontal="left" vertical="center"/>
    </xf>
    <xf numFmtId="0" fontId="4" fillId="3" borderId="0" xfId="0" applyFont="1" applyFill="1" applyAlignment="1" applyProtection="1">
      <alignment vertical="center"/>
    </xf>
    <xf numFmtId="0" fontId="4" fillId="0" borderId="0" xfId="0" applyFont="1" applyAlignment="1" applyProtection="1">
      <alignment vertical="center"/>
      <protection locked="0"/>
    </xf>
    <xf numFmtId="37" fontId="3" fillId="3" borderId="0" xfId="0" applyNumberFormat="1" applyFont="1" applyFill="1" applyAlignment="1" applyProtection="1">
      <alignment horizontal="left" vertical="center"/>
    </xf>
    <xf numFmtId="37" fontId="4" fillId="3" borderId="0" xfId="0" applyNumberFormat="1" applyFont="1" applyFill="1" applyAlignment="1" applyProtection="1">
      <alignment horizontal="left" vertical="center"/>
    </xf>
    <xf numFmtId="37" fontId="4" fillId="3" borderId="0" xfId="0" applyNumberFormat="1" applyFont="1" applyFill="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37" fontId="3" fillId="3" borderId="0" xfId="0" applyNumberFormat="1" applyFont="1" applyFill="1" applyAlignment="1" applyProtection="1">
      <alignment horizontal="centerContinuous" vertical="center"/>
    </xf>
    <xf numFmtId="0" fontId="4" fillId="3" borderId="0" xfId="0" applyFont="1" applyFill="1" applyAlignment="1" applyProtection="1">
      <alignment horizontal="centerContinuous" vertical="center"/>
    </xf>
    <xf numFmtId="37" fontId="4" fillId="3" borderId="0" xfId="0" applyNumberFormat="1" applyFont="1" applyFill="1" applyAlignment="1" applyProtection="1">
      <alignment horizontal="centerContinuous" vertical="center"/>
    </xf>
    <xf numFmtId="37" fontId="12" fillId="3" borderId="0" xfId="0" applyNumberFormat="1" applyFont="1" applyFill="1" applyAlignment="1" applyProtection="1">
      <alignment horizontal="center" vertical="center"/>
    </xf>
    <xf numFmtId="0" fontId="5" fillId="3" borderId="0" xfId="0" applyFont="1" applyFill="1" applyAlignment="1" applyProtection="1">
      <alignment horizontal="center" vertical="center"/>
    </xf>
    <xf numFmtId="0" fontId="3" fillId="3" borderId="0" xfId="0" applyFont="1" applyFill="1" applyAlignment="1" applyProtection="1">
      <alignment vertical="center"/>
    </xf>
    <xf numFmtId="0" fontId="5" fillId="6" borderId="2"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xf>
    <xf numFmtId="37" fontId="4" fillId="3" borderId="0" xfId="0" applyNumberFormat="1" applyFont="1" applyFill="1" applyAlignment="1" applyProtection="1">
      <alignment horizontal="center" vertical="center"/>
    </xf>
    <xf numFmtId="0" fontId="4" fillId="6" borderId="3" xfId="0" applyFont="1" applyFill="1" applyBorder="1" applyAlignment="1" applyProtection="1">
      <alignment horizontal="center" vertical="center"/>
      <protection locked="0"/>
    </xf>
    <xf numFmtId="37" fontId="4" fillId="4" borderId="3" xfId="0" applyNumberFormat="1" applyFont="1" applyFill="1" applyBorder="1" applyAlignment="1" applyProtection="1">
      <alignment horizontal="center" vertical="center" wrapText="1"/>
    </xf>
    <xf numFmtId="37" fontId="4" fillId="3" borderId="1" xfId="0" applyNumberFormat="1" applyFont="1" applyFill="1" applyBorder="1" applyAlignment="1" applyProtection="1">
      <alignment horizontal="left" vertical="center"/>
    </xf>
    <xf numFmtId="0" fontId="4" fillId="3" borderId="1" xfId="0" applyFont="1" applyFill="1" applyBorder="1" applyAlignment="1" applyProtection="1">
      <alignment vertical="center"/>
    </xf>
    <xf numFmtId="3" fontId="4" fillId="2" borderId="1" xfId="0" applyNumberFormat="1" applyFont="1" applyFill="1" applyBorder="1" applyAlignment="1" applyProtection="1">
      <alignment vertical="center"/>
      <protection locked="0"/>
    </xf>
    <xf numFmtId="3" fontId="4" fillId="7" borderId="1" xfId="0" applyNumberFormat="1" applyFont="1" applyFill="1" applyBorder="1" applyAlignment="1" applyProtection="1">
      <alignment vertical="center"/>
      <protection locked="0"/>
    </xf>
    <xf numFmtId="3" fontId="4" fillId="3" borderId="0" xfId="0" applyNumberFormat="1" applyFont="1" applyFill="1" applyAlignment="1" applyProtection="1">
      <alignment vertical="center"/>
    </xf>
    <xf numFmtId="170" fontId="4" fillId="3" borderId="0" xfId="0" applyNumberFormat="1" applyFont="1" applyFill="1" applyBorder="1" applyAlignment="1" applyProtection="1">
      <alignment vertical="center"/>
    </xf>
    <xf numFmtId="0" fontId="4" fillId="7" borderId="1" xfId="0" applyFont="1" applyFill="1" applyBorder="1" applyAlignment="1" applyProtection="1">
      <alignment vertical="center"/>
      <protection locked="0"/>
    </xf>
    <xf numFmtId="37" fontId="4" fillId="3" borderId="4" xfId="0" applyNumberFormat="1" applyFont="1" applyFill="1" applyBorder="1" applyAlignment="1" applyProtection="1">
      <alignment horizontal="left" vertical="center"/>
    </xf>
    <xf numFmtId="0" fontId="4" fillId="3" borderId="4" xfId="0" applyFont="1" applyFill="1" applyBorder="1" applyAlignment="1" applyProtection="1">
      <alignment vertical="center"/>
    </xf>
    <xf numFmtId="3" fontId="4" fillId="3" borderId="5" xfId="0" applyNumberFormat="1" applyFont="1" applyFill="1" applyBorder="1" applyAlignment="1" applyProtection="1">
      <alignment vertical="center"/>
    </xf>
    <xf numFmtId="3" fontId="4" fillId="8" borderId="1" xfId="0" applyNumberFormat="1" applyFont="1" applyFill="1" applyBorder="1" applyAlignment="1" applyProtection="1">
      <alignment vertical="center"/>
    </xf>
    <xf numFmtId="3" fontId="4" fillId="3" borderId="0" xfId="0" applyNumberFormat="1" applyFont="1" applyFill="1" applyBorder="1" applyAlignment="1" applyProtection="1">
      <alignment vertical="center"/>
    </xf>
    <xf numFmtId="164" fontId="4" fillId="3" borderId="1" xfId="0" applyNumberFormat="1" applyFont="1" applyFill="1" applyBorder="1" applyAlignment="1" applyProtection="1">
      <alignment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horizontal="left" vertical="center"/>
    </xf>
    <xf numFmtId="0" fontId="4" fillId="3" borderId="6" xfId="0" applyFont="1" applyFill="1" applyBorder="1" applyAlignment="1" applyProtection="1">
      <alignment vertical="center"/>
    </xf>
    <xf numFmtId="3" fontId="4"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right" vertical="center"/>
    </xf>
    <xf numFmtId="37" fontId="4" fillId="3" borderId="1" xfId="0" applyNumberFormat="1" applyFont="1" applyFill="1" applyBorder="1" applyAlignment="1" applyProtection="1">
      <alignment vertical="center"/>
    </xf>
    <xf numFmtId="0" fontId="4" fillId="3" borderId="3" xfId="0" applyFont="1" applyFill="1" applyBorder="1" applyAlignment="1" applyProtection="1">
      <alignment vertical="center"/>
    </xf>
    <xf numFmtId="170" fontId="4" fillId="7" borderId="1" xfId="0" applyNumberFormat="1" applyFont="1" applyFill="1" applyBorder="1" applyAlignment="1" applyProtection="1">
      <alignment vertical="center"/>
      <protection locked="0"/>
    </xf>
    <xf numFmtId="170" fontId="4" fillId="8" borderId="1" xfId="0" applyNumberFormat="1" applyFont="1" applyFill="1" applyBorder="1" applyAlignment="1" applyProtection="1">
      <alignment vertical="center"/>
    </xf>
    <xf numFmtId="0" fontId="4" fillId="3" borderId="7" xfId="0" applyFont="1" applyFill="1" applyBorder="1" applyAlignment="1" applyProtection="1">
      <alignment vertical="center"/>
    </xf>
    <xf numFmtId="0" fontId="4" fillId="6" borderId="5" xfId="0" applyFont="1" applyFill="1" applyBorder="1" applyAlignment="1" applyProtection="1">
      <alignment vertical="center"/>
    </xf>
    <xf numFmtId="0" fontId="4" fillId="3" borderId="5" xfId="0" applyFont="1" applyFill="1" applyBorder="1" applyAlignment="1" applyProtection="1">
      <alignment vertical="center"/>
    </xf>
    <xf numFmtId="0" fontId="4" fillId="3" borderId="8" xfId="0" applyFont="1" applyFill="1" applyBorder="1" applyAlignment="1" applyProtection="1">
      <alignment vertical="center"/>
    </xf>
    <xf numFmtId="0" fontId="4" fillId="3" borderId="0" xfId="0" applyFont="1" applyFill="1" applyAlignment="1" applyProtection="1">
      <alignment vertical="center"/>
      <protection locked="0"/>
    </xf>
    <xf numFmtId="0" fontId="4" fillId="3" borderId="4" xfId="0"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4" fillId="3" borderId="7"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0" fillId="0" borderId="0" xfId="0" applyAlignment="1">
      <alignment vertical="center"/>
    </xf>
    <xf numFmtId="37" fontId="4" fillId="3" borderId="0" xfId="0" applyNumberFormat="1" applyFont="1" applyFill="1" applyAlignment="1">
      <alignment vertical="center"/>
    </xf>
    <xf numFmtId="0" fontId="0" fillId="3" borderId="0" xfId="0" applyFill="1" applyAlignment="1">
      <alignment vertical="center"/>
    </xf>
    <xf numFmtId="0" fontId="4" fillId="3" borderId="0" xfId="0" applyFont="1" applyFill="1" applyAlignment="1">
      <alignment vertical="center"/>
    </xf>
    <xf numFmtId="37" fontId="4" fillId="3" borderId="5" xfId="0" applyNumberFormat="1" applyFont="1" applyFill="1" applyBorder="1" applyAlignment="1" applyProtection="1">
      <alignment horizontal="left" vertical="center"/>
    </xf>
    <xf numFmtId="37" fontId="4" fillId="2" borderId="1" xfId="0" applyNumberFormat="1" applyFont="1" applyFill="1" applyBorder="1" applyAlignment="1" applyProtection="1">
      <alignment vertical="center"/>
      <protection locked="0"/>
    </xf>
    <xf numFmtId="37" fontId="3" fillId="3" borderId="5" xfId="0" applyNumberFormat="1" applyFont="1" applyFill="1" applyBorder="1" applyAlignment="1" applyProtection="1">
      <alignment horizontal="left" vertical="center"/>
    </xf>
    <xf numFmtId="0" fontId="0" fillId="3" borderId="0" xfId="0" applyFill="1" applyAlignment="1" applyProtection="1">
      <alignment vertical="center"/>
    </xf>
    <xf numFmtId="0" fontId="10" fillId="3" borderId="0" xfId="0" applyFont="1" applyFill="1" applyBorder="1" applyAlignment="1" applyProtection="1">
      <alignment horizontal="center" vertical="center"/>
    </xf>
    <xf numFmtId="0" fontId="4" fillId="3" borderId="9" xfId="0" applyFont="1" applyFill="1" applyBorder="1" applyAlignment="1" applyProtection="1">
      <alignment vertical="center"/>
    </xf>
    <xf numFmtId="0" fontId="0" fillId="3" borderId="7" xfId="0" applyFill="1" applyBorder="1" applyAlignment="1" applyProtection="1">
      <alignment vertical="center"/>
    </xf>
    <xf numFmtId="0" fontId="0" fillId="3" borderId="4" xfId="0"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8" xfId="0" applyNumberFormat="1" applyFont="1" applyFill="1" applyBorder="1" applyAlignment="1" applyProtection="1">
      <alignment vertical="center"/>
    </xf>
    <xf numFmtId="37" fontId="4" fillId="5" borderId="0" xfId="0" applyNumberFormat="1" applyFont="1" applyFill="1" applyBorder="1" applyAlignment="1" applyProtection="1">
      <alignment horizontal="left" vertical="center"/>
    </xf>
    <xf numFmtId="0" fontId="4" fillId="5" borderId="0" xfId="0" applyFont="1" applyFill="1" applyBorder="1" applyAlignment="1" applyProtection="1">
      <alignment vertical="center"/>
    </xf>
    <xf numFmtId="171" fontId="4" fillId="5" borderId="0" xfId="0" applyNumberFormat="1" applyFont="1" applyFill="1" applyBorder="1" applyAlignment="1" applyProtection="1">
      <alignment vertical="center"/>
      <protection locked="0"/>
    </xf>
    <xf numFmtId="0" fontId="4" fillId="3" borderId="4" xfId="0" applyFont="1" applyFill="1" applyBorder="1" applyAlignment="1">
      <alignment vertical="center"/>
    </xf>
    <xf numFmtId="0" fontId="0" fillId="3" borderId="4" xfId="0" applyFill="1" applyBorder="1" applyAlignment="1">
      <alignment vertical="center"/>
    </xf>
    <xf numFmtId="0" fontId="0" fillId="3" borderId="7" xfId="0" applyFill="1" applyBorder="1" applyAlignment="1">
      <alignment vertical="center"/>
    </xf>
    <xf numFmtId="0" fontId="4" fillId="3" borderId="5" xfId="0" applyFont="1" applyFill="1" applyBorder="1" applyAlignment="1">
      <alignment vertical="center"/>
    </xf>
    <xf numFmtId="0" fontId="0" fillId="3" borderId="5" xfId="0" applyFill="1" applyBorder="1" applyAlignment="1">
      <alignment vertical="center"/>
    </xf>
    <xf numFmtId="0" fontId="0" fillId="3" borderId="8" xfId="0" applyFill="1" applyBorder="1" applyAlignment="1">
      <alignment vertical="center"/>
    </xf>
    <xf numFmtId="0" fontId="0" fillId="5" borderId="0" xfId="0" applyFill="1" applyAlignment="1">
      <alignmen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14" fillId="3" borderId="0" xfId="0" applyFont="1" applyFill="1" applyAlignment="1">
      <alignment vertical="center"/>
    </xf>
    <xf numFmtId="0" fontId="16" fillId="3" borderId="0" xfId="0" applyFont="1" applyFill="1" applyAlignment="1">
      <alignment vertical="center"/>
    </xf>
    <xf numFmtId="37" fontId="4" fillId="3" borderId="1" xfId="0" applyNumberFormat="1" applyFont="1" applyFill="1" applyBorder="1" applyAlignment="1">
      <alignment vertical="center"/>
    </xf>
    <xf numFmtId="0" fontId="4" fillId="3" borderId="0" xfId="0" applyFont="1" applyFill="1" applyAlignment="1" applyProtection="1">
      <alignment horizontal="right" vertical="center"/>
    </xf>
    <xf numFmtId="37" fontId="4" fillId="3" borderId="10" xfId="0" applyNumberFormat="1" applyFont="1" applyFill="1" applyBorder="1" applyAlignment="1" applyProtection="1">
      <alignment horizontal="centerContinuous" vertical="center"/>
    </xf>
    <xf numFmtId="0" fontId="4" fillId="3" borderId="5" xfId="0" applyFont="1" applyFill="1" applyBorder="1" applyAlignment="1" applyProtection="1">
      <alignment horizontal="centerContinuous" vertical="center"/>
    </xf>
    <xf numFmtId="0" fontId="4" fillId="3" borderId="8" xfId="0" applyFont="1" applyFill="1" applyBorder="1" applyAlignment="1" applyProtection="1">
      <alignment horizontal="centerContinuous" vertical="center"/>
    </xf>
    <xf numFmtId="37" fontId="4" fillId="3" borderId="4" xfId="0" applyNumberFormat="1" applyFont="1" applyFill="1" applyBorder="1" applyAlignment="1" applyProtection="1">
      <alignment horizontal="fill" vertical="center"/>
    </xf>
    <xf numFmtId="37" fontId="4" fillId="3" borderId="2" xfId="0" applyNumberFormat="1" applyFont="1" applyFill="1" applyBorder="1" applyAlignment="1" applyProtection="1">
      <alignment horizontal="left" vertical="center"/>
    </xf>
    <xf numFmtId="37" fontId="4" fillId="3" borderId="2" xfId="0" applyNumberFormat="1" applyFont="1" applyFill="1" applyBorder="1" applyAlignment="1" applyProtection="1">
      <alignment horizontal="center" vertical="center"/>
    </xf>
    <xf numFmtId="37" fontId="4" fillId="3" borderId="11" xfId="0" applyNumberFormat="1"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37" fontId="3" fillId="3" borderId="4" xfId="0" applyNumberFormat="1" applyFont="1" applyFill="1" applyBorder="1" applyAlignment="1" applyProtection="1">
      <alignment horizontal="left" vertical="center"/>
    </xf>
    <xf numFmtId="37" fontId="4" fillId="3" borderId="3" xfId="0" applyNumberFormat="1"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37" fontId="4" fillId="3" borderId="10" xfId="0" applyNumberFormat="1" applyFont="1" applyFill="1" applyBorder="1" applyAlignment="1" applyProtection="1">
      <alignment horizontal="left" vertical="center"/>
    </xf>
    <xf numFmtId="37" fontId="4" fillId="3" borderId="1" xfId="0" applyNumberFormat="1" applyFont="1" applyFill="1" applyBorder="1" applyAlignment="1" applyProtection="1">
      <alignment horizontal="center" vertical="center"/>
    </xf>
    <xf numFmtId="0" fontId="4" fillId="3" borderId="2" xfId="0" applyFont="1" applyFill="1" applyBorder="1" applyAlignment="1" applyProtection="1">
      <alignment vertical="center"/>
    </xf>
    <xf numFmtId="0" fontId="4" fillId="3" borderId="11" xfId="0" applyFont="1" applyFill="1" applyBorder="1" applyAlignment="1" applyProtection="1">
      <alignment vertical="center"/>
    </xf>
    <xf numFmtId="37" fontId="10" fillId="3" borderId="10" xfId="0" applyNumberFormat="1" applyFont="1" applyFill="1" applyBorder="1" applyAlignment="1" applyProtection="1">
      <alignment horizontal="left" vertical="center"/>
    </xf>
    <xf numFmtId="37" fontId="10" fillId="3" borderId="8" xfId="0" applyNumberFormat="1"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37" fontId="4" fillId="8" borderId="1" xfId="0" applyNumberFormat="1" applyFont="1" applyFill="1" applyBorder="1" applyAlignment="1" applyProtection="1">
      <alignment horizontal="center" vertical="center"/>
    </xf>
    <xf numFmtId="37" fontId="4" fillId="3" borderId="10" xfId="0" applyNumberFormat="1" applyFont="1" applyFill="1" applyBorder="1" applyAlignment="1" applyProtection="1">
      <alignment vertical="center"/>
    </xf>
    <xf numFmtId="37" fontId="4" fillId="3"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vertical="center"/>
    </xf>
    <xf numFmtId="37" fontId="4" fillId="3" borderId="12" xfId="0" applyNumberFormat="1" applyFont="1" applyFill="1" applyBorder="1" applyAlignment="1" applyProtection="1">
      <alignment horizontal="left" vertical="center"/>
    </xf>
    <xf numFmtId="0" fontId="7" fillId="3" borderId="0" xfId="0" applyFont="1" applyFill="1" applyBorder="1" applyAlignment="1" applyProtection="1">
      <alignment vertical="center" shrinkToFit="1"/>
    </xf>
    <xf numFmtId="37" fontId="4" fillId="3" borderId="0" xfId="0" applyNumberFormat="1" applyFont="1" applyFill="1" applyAlignment="1" applyProtection="1">
      <alignment horizontal="right" vertical="center"/>
    </xf>
    <xf numFmtId="0" fontId="4" fillId="3" borderId="0" xfId="0" applyFont="1" applyFill="1" applyBorder="1" applyAlignment="1" applyProtection="1">
      <alignment horizontal="right" vertical="center"/>
    </xf>
    <xf numFmtId="0" fontId="4" fillId="3" borderId="0" xfId="0" applyFont="1" applyFill="1" applyAlignment="1" applyProtection="1">
      <alignment horizontal="left" vertical="center"/>
    </xf>
    <xf numFmtId="0" fontId="4" fillId="3" borderId="0" xfId="0" applyFont="1" applyFill="1" applyAlignment="1" applyProtection="1">
      <alignment horizontal="center" vertical="center"/>
    </xf>
    <xf numFmtId="37" fontId="4" fillId="3" borderId="0" xfId="0" applyNumberFormat="1" applyFont="1" applyFill="1" applyAlignment="1" applyProtection="1">
      <alignment vertical="center"/>
    </xf>
    <xf numFmtId="0" fontId="4" fillId="3" borderId="4" xfId="0" applyFont="1" applyFill="1" applyBorder="1" applyAlignment="1" applyProtection="1">
      <alignment horizontal="centerContinuous" vertical="center"/>
    </xf>
    <xf numFmtId="0" fontId="4" fillId="3" borderId="0" xfId="0" applyFont="1" applyFill="1" applyBorder="1" applyAlignment="1" applyProtection="1">
      <alignment horizontal="centerContinuous" vertical="center"/>
    </xf>
    <xf numFmtId="0" fontId="4" fillId="3" borderId="2" xfId="0" applyFont="1" applyFill="1" applyBorder="1" applyAlignment="1" applyProtection="1">
      <alignment horizontal="center" vertical="center"/>
    </xf>
    <xf numFmtId="0" fontId="4" fillId="3" borderId="11" xfId="0" applyNumberFormat="1" applyFont="1" applyFill="1" applyBorder="1" applyAlignment="1" applyProtection="1">
      <alignment horizontal="center" vertical="center"/>
    </xf>
    <xf numFmtId="166" fontId="4" fillId="3" borderId="0" xfId="0" applyNumberFormat="1" applyFont="1" applyFill="1" applyAlignment="1" applyProtection="1">
      <alignment vertical="center"/>
    </xf>
    <xf numFmtId="37" fontId="4" fillId="3" borderId="4" xfId="0" applyNumberFormat="1" applyFont="1" applyFill="1" applyBorder="1" applyAlignment="1" applyProtection="1">
      <alignment vertical="center"/>
    </xf>
    <xf numFmtId="0" fontId="4" fillId="0" borderId="0" xfId="0" applyFont="1" applyAlignment="1" applyProtection="1">
      <alignment horizontal="center" vertical="center"/>
      <protection locked="0"/>
    </xf>
    <xf numFmtId="0" fontId="3" fillId="3" borderId="4"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1" fontId="4" fillId="3" borderId="3"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3" fillId="3" borderId="1" xfId="0" applyFont="1" applyFill="1" applyBorder="1" applyAlignment="1" applyProtection="1">
      <alignment horizontal="center" vertical="center"/>
    </xf>
    <xf numFmtId="3" fontId="4" fillId="3" borderId="1" xfId="0" applyNumberFormat="1" applyFont="1" applyFill="1" applyBorder="1" applyAlignment="1" applyProtection="1">
      <alignment horizontal="center" vertical="center"/>
    </xf>
    <xf numFmtId="37" fontId="3" fillId="3" borderId="1" xfId="0" applyNumberFormat="1" applyFont="1" applyFill="1" applyBorder="1" applyAlignment="1" applyProtection="1">
      <alignment horizontal="center" vertical="center"/>
    </xf>
    <xf numFmtId="1" fontId="4" fillId="3" borderId="0" xfId="0" applyNumberFormat="1" applyFont="1" applyFill="1" applyBorder="1" applyAlignment="1" applyProtection="1">
      <alignment horizontal="right" vertical="center"/>
    </xf>
    <xf numFmtId="0" fontId="3" fillId="3" borderId="0" xfId="513" applyFont="1" applyFill="1" applyAlignment="1" applyProtection="1">
      <alignment horizontal="centerContinuous" vertical="center"/>
    </xf>
    <xf numFmtId="0" fontId="4" fillId="3" borderId="4" xfId="0" applyFont="1" applyFill="1" applyBorder="1" applyAlignment="1" applyProtection="1">
      <alignment horizontal="fill" vertical="center"/>
    </xf>
    <xf numFmtId="0" fontId="4" fillId="3" borderId="13" xfId="0" applyFont="1" applyFill="1" applyBorder="1" applyAlignment="1" applyProtection="1">
      <alignment horizontal="centerContinuous" vertical="center"/>
    </xf>
    <xf numFmtId="0" fontId="4" fillId="3" borderId="14" xfId="0" applyFont="1" applyFill="1" applyBorder="1" applyAlignment="1" applyProtection="1">
      <alignment horizontal="centerContinuous" vertical="center"/>
    </xf>
    <xf numFmtId="1" fontId="4" fillId="3" borderId="12"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2" fontId="4" fillId="3" borderId="1" xfId="0" applyNumberFormat="1" applyFont="1" applyFill="1" applyBorder="1" applyAlignment="1" applyProtection="1">
      <alignment vertical="center"/>
    </xf>
    <xf numFmtId="3" fontId="4" fillId="3" borderId="1" xfId="0" applyNumberFormat="1" applyFont="1" applyFill="1" applyBorder="1" applyAlignment="1" applyProtection="1">
      <alignment vertical="center"/>
    </xf>
    <xf numFmtId="2" fontId="4" fillId="7" borderId="1" xfId="0" applyNumberFormat="1" applyFont="1" applyFill="1" applyBorder="1" applyAlignment="1" applyProtection="1">
      <alignment horizontal="center" vertical="center"/>
      <protection locked="0"/>
    </xf>
    <xf numFmtId="3" fontId="4" fillId="7" borderId="1" xfId="0" applyNumberFormat="1" applyFont="1" applyFill="1" applyBorder="1" applyAlignment="1" applyProtection="1">
      <alignment horizontal="center" vertical="center"/>
      <protection locked="0"/>
    </xf>
    <xf numFmtId="37" fontId="4" fillId="7" borderId="1" xfId="0" applyNumberFormat="1" applyFont="1" applyFill="1" applyBorder="1" applyAlignment="1" applyProtection="1">
      <alignment horizontal="center" vertical="center"/>
      <protection locked="0"/>
    </xf>
    <xf numFmtId="168" fontId="4" fillId="7" borderId="1"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xf>
    <xf numFmtId="167" fontId="3" fillId="3" borderId="1" xfId="0" applyNumberFormat="1" applyFont="1" applyFill="1" applyBorder="1" applyAlignment="1" applyProtection="1">
      <alignment horizontal="center" vertical="center"/>
    </xf>
    <xf numFmtId="2" fontId="3" fillId="3" borderId="1"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37" fontId="3" fillId="8" borderId="1" xfId="0" applyNumberFormat="1" applyFont="1" applyFill="1" applyBorder="1" applyAlignment="1" applyProtection="1">
      <alignment horizontal="center" vertical="center"/>
    </xf>
    <xf numFmtId="168" fontId="3" fillId="3" borderId="1" xfId="0" applyNumberFormat="1" applyFont="1" applyFill="1" applyBorder="1" applyAlignment="1" applyProtection="1">
      <alignment horizontal="center" vertical="center"/>
    </xf>
    <xf numFmtId="167" fontId="4" fillId="3" borderId="1" xfId="0" applyNumberFormat="1" applyFont="1" applyFill="1" applyBorder="1" applyAlignment="1" applyProtection="1">
      <alignment horizontal="center" vertical="center"/>
    </xf>
    <xf numFmtId="2" fontId="4" fillId="3" borderId="1" xfId="0" applyNumberFormat="1" applyFont="1" applyFill="1" applyBorder="1" applyAlignment="1" applyProtection="1">
      <alignment horizontal="center" vertical="center"/>
    </xf>
    <xf numFmtId="168" fontId="4" fillId="3" borderId="1" xfId="0" applyNumberFormat="1" applyFont="1" applyFill="1" applyBorder="1" applyAlignment="1" applyProtection="1">
      <alignment horizontal="center" vertical="center"/>
    </xf>
    <xf numFmtId="1" fontId="3" fillId="3" borderId="1" xfId="0" applyNumberFormat="1" applyFont="1" applyFill="1" applyBorder="1" applyAlignment="1" applyProtection="1">
      <alignment horizontal="center" vertical="center"/>
    </xf>
    <xf numFmtId="3" fontId="3" fillId="8" borderId="1" xfId="0" applyNumberFormat="1" applyFont="1" applyFill="1" applyBorder="1" applyAlignment="1" applyProtection="1">
      <alignment horizontal="center" vertical="center"/>
    </xf>
    <xf numFmtId="1" fontId="4" fillId="3" borderId="1" xfId="0" applyNumberFormat="1" applyFont="1" applyFill="1" applyBorder="1" applyAlignment="1" applyProtection="1">
      <alignment horizontal="center" vertical="center"/>
    </xf>
    <xf numFmtId="37" fontId="4" fillId="0" borderId="0" xfId="0" applyNumberFormat="1" applyFont="1" applyAlignment="1" applyProtection="1">
      <alignment vertical="center"/>
      <protection locked="0"/>
    </xf>
    <xf numFmtId="0" fontId="4" fillId="0" borderId="0" xfId="0" applyFont="1" applyAlignment="1" applyProtection="1">
      <alignment horizontal="left" vertical="center"/>
      <protection locked="0"/>
    </xf>
    <xf numFmtId="0" fontId="4" fillId="3" borderId="0" xfId="0" applyNumberFormat="1" applyFont="1" applyFill="1" applyAlignment="1" applyProtection="1">
      <alignment horizontal="right" vertical="center"/>
    </xf>
    <xf numFmtId="0" fontId="6" fillId="3" borderId="3" xfId="0" applyFont="1" applyFill="1" applyBorder="1" applyAlignment="1" applyProtection="1">
      <alignment horizontal="center" vertical="center"/>
    </xf>
    <xf numFmtId="14" fontId="4" fillId="3" borderId="3" xfId="0" quotePrefix="1" applyNumberFormat="1" applyFont="1" applyFill="1" applyBorder="1" applyAlignment="1" applyProtection="1">
      <alignment horizontal="center" vertical="center"/>
    </xf>
    <xf numFmtId="0" fontId="4" fillId="7" borderId="1" xfId="0" applyFont="1" applyFill="1" applyBorder="1" applyAlignment="1" applyProtection="1">
      <alignment horizontal="center" vertical="center"/>
      <protection locked="0"/>
    </xf>
    <xf numFmtId="1" fontId="4" fillId="7" borderId="1" xfId="0" applyNumberFormat="1" applyFont="1" applyFill="1" applyBorder="1" applyAlignment="1" applyProtection="1">
      <alignment horizontal="center" vertical="center"/>
      <protection locked="0"/>
    </xf>
    <xf numFmtId="0" fontId="3" fillId="3" borderId="0" xfId="0" applyFont="1" applyFill="1" applyAlignment="1" applyProtection="1">
      <alignment horizontal="left" vertical="center"/>
    </xf>
    <xf numFmtId="3" fontId="3" fillId="8" borderId="15" xfId="0" applyNumberFormat="1" applyFont="1" applyFill="1" applyBorder="1" applyAlignment="1" applyProtection="1">
      <alignment horizontal="center" vertical="center"/>
    </xf>
    <xf numFmtId="0" fontId="4" fillId="3" borderId="0" xfId="0" applyFont="1" applyFill="1" applyBorder="1" applyAlignment="1" applyProtection="1">
      <alignment horizontal="fill" vertical="center"/>
    </xf>
    <xf numFmtId="0" fontId="4" fillId="3" borderId="3" xfId="0" applyNumberFormat="1"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3" fontId="4" fillId="7" borderId="10" xfId="0" applyNumberFormat="1" applyFont="1" applyFill="1" applyBorder="1" applyAlignment="1" applyProtection="1">
      <alignment vertical="center"/>
      <protection locked="0"/>
    </xf>
    <xf numFmtId="3" fontId="4" fillId="7" borderId="8" xfId="0" applyNumberFormat="1" applyFont="1" applyFill="1" applyBorder="1" applyAlignment="1" applyProtection="1">
      <alignment vertical="center"/>
      <protection locked="0"/>
    </xf>
    <xf numFmtId="0" fontId="4" fillId="3" borderId="12" xfId="0" applyFont="1" applyFill="1" applyBorder="1" applyAlignment="1" applyProtection="1">
      <alignment horizontal="left" vertical="center"/>
    </xf>
    <xf numFmtId="37" fontId="4" fillId="7" borderId="10" xfId="0" applyNumberFormat="1" applyFont="1" applyFill="1" applyBorder="1" applyAlignment="1" applyProtection="1">
      <alignment vertical="center"/>
      <protection locked="0"/>
    </xf>
    <xf numFmtId="37" fontId="4" fillId="7" borderId="8" xfId="0" applyNumberFormat="1" applyFont="1" applyFill="1" applyBorder="1" applyAlignment="1" applyProtection="1">
      <alignment vertical="center"/>
      <protection locked="0"/>
    </xf>
    <xf numFmtId="37" fontId="4" fillId="3" borderId="1" xfId="0" applyNumberFormat="1" applyFont="1" applyFill="1" applyBorder="1" applyAlignment="1" applyProtection="1">
      <alignment horizontal="fill" vertical="center"/>
    </xf>
    <xf numFmtId="37" fontId="4" fillId="7" borderId="1" xfId="0" applyNumberFormat="1" applyFont="1" applyFill="1" applyBorder="1" applyAlignment="1" applyProtection="1">
      <alignment vertical="center"/>
      <protection locked="0"/>
    </xf>
    <xf numFmtId="0" fontId="4" fillId="7" borderId="10" xfId="0" applyFont="1" applyFill="1" applyBorder="1" applyAlignment="1" applyProtection="1">
      <alignment horizontal="left" vertical="center"/>
      <protection locked="0"/>
    </xf>
    <xf numFmtId="37" fontId="14" fillId="9" borderId="8" xfId="0" applyNumberFormat="1" applyFont="1" applyFill="1" applyBorder="1" applyAlignment="1" applyProtection="1">
      <alignment horizontal="center" vertical="center"/>
    </xf>
    <xf numFmtId="37" fontId="3" fillId="3" borderId="10" xfId="0" applyNumberFormat="1"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37" fontId="4" fillId="0" borderId="0" xfId="0" applyNumberFormat="1" applyFont="1" applyFill="1" applyBorder="1" applyAlignment="1" applyProtection="1">
      <alignment vertical="center"/>
      <protection locked="0"/>
    </xf>
    <xf numFmtId="0" fontId="4" fillId="7" borderId="10" xfId="0" applyFont="1" applyFill="1" applyBorder="1" applyAlignment="1" applyProtection="1">
      <alignment vertical="center"/>
      <protection locked="0"/>
    </xf>
    <xf numFmtId="0" fontId="4" fillId="3" borderId="10" xfId="0" applyFont="1" applyFill="1" applyBorder="1" applyAlignment="1" applyProtection="1">
      <alignment vertical="center"/>
    </xf>
    <xf numFmtId="37" fontId="3" fillId="8" borderId="1" xfId="0" applyNumberFormat="1" applyFont="1" applyFill="1" applyBorder="1" applyAlignment="1" applyProtection="1">
      <alignment vertical="center"/>
    </xf>
    <xf numFmtId="0" fontId="14" fillId="0" borderId="0" xfId="0" applyFont="1" applyAlignment="1" applyProtection="1">
      <alignment vertical="center"/>
    </xf>
    <xf numFmtId="0" fontId="12" fillId="3" borderId="0" xfId="0" applyFont="1" applyFill="1" applyAlignment="1" applyProtection="1">
      <alignment horizontal="center" vertical="center"/>
    </xf>
    <xf numFmtId="0" fontId="4" fillId="3" borderId="0" xfId="0" applyFont="1" applyFill="1" applyAlignment="1">
      <alignment horizontal="right" vertical="center"/>
    </xf>
    <xf numFmtId="0" fontId="4" fillId="3" borderId="0" xfId="0" applyFont="1" applyFill="1" applyAlignment="1" applyProtection="1">
      <alignment horizontal="fill" vertical="center"/>
    </xf>
    <xf numFmtId="1" fontId="4" fillId="3" borderId="2" xfId="0" applyNumberFormat="1" applyFont="1" applyFill="1" applyBorder="1" applyAlignment="1" applyProtection="1">
      <alignment horizontal="center" vertical="center"/>
    </xf>
    <xf numFmtId="0" fontId="4" fillId="2" borderId="1" xfId="0" applyFont="1" applyFill="1" applyBorder="1" applyAlignment="1" applyProtection="1">
      <alignment horizontal="left" vertical="center"/>
      <protection locked="0"/>
    </xf>
    <xf numFmtId="0" fontId="4" fillId="7" borderId="1"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37" fontId="3" fillId="9" borderId="15" xfId="0" applyNumberFormat="1" applyFont="1" applyFill="1" applyBorder="1" applyAlignment="1" applyProtection="1">
      <alignment vertical="center"/>
    </xf>
    <xf numFmtId="0" fontId="14" fillId="3" borderId="0" xfId="0" applyFont="1" applyFill="1" applyAlignment="1" applyProtection="1">
      <alignment vertical="center"/>
    </xf>
    <xf numFmtId="3" fontId="4" fillId="3" borderId="1" xfId="0" applyNumberFormat="1" applyFont="1" applyFill="1" applyBorder="1" applyAlignment="1" applyProtection="1">
      <alignment horizontal="fill" vertical="center"/>
    </xf>
    <xf numFmtId="3" fontId="14" fillId="9" borderId="8" xfId="0" applyNumberFormat="1" applyFont="1" applyFill="1" applyBorder="1" applyAlignment="1" applyProtection="1">
      <alignment horizontal="center" vertical="center"/>
    </xf>
    <xf numFmtId="3" fontId="4" fillId="9" borderId="1" xfId="0" applyNumberFormat="1" applyFont="1" applyFill="1" applyBorder="1" applyAlignment="1" applyProtection="1">
      <alignment vertical="center"/>
    </xf>
    <xf numFmtId="1" fontId="4" fillId="3" borderId="0" xfId="0" applyNumberFormat="1" applyFont="1" applyFill="1" applyAlignment="1" applyProtection="1">
      <alignment horizontal="right" vertical="center"/>
    </xf>
    <xf numFmtId="37" fontId="4" fillId="3" borderId="0" xfId="0" applyNumberFormat="1" applyFont="1" applyFill="1" applyBorder="1" applyAlignment="1" applyProtection="1">
      <alignment horizontal="fill" vertical="center"/>
    </xf>
    <xf numFmtId="3" fontId="3" fillId="3" borderId="1" xfId="0" applyNumberFormat="1" applyFont="1" applyFill="1" applyBorder="1" applyAlignment="1" applyProtection="1">
      <alignment vertical="center"/>
    </xf>
    <xf numFmtId="3" fontId="4" fillId="9" borderId="15" xfId="0" applyNumberFormat="1" applyFont="1" applyFill="1" applyBorder="1" applyAlignment="1" applyProtection="1">
      <alignment vertical="center"/>
    </xf>
    <xf numFmtId="3" fontId="4" fillId="0" borderId="0" xfId="0" applyNumberFormat="1" applyFont="1" applyAlignment="1" applyProtection="1">
      <alignment horizontal="fill" vertical="center"/>
      <protection locked="0"/>
    </xf>
    <xf numFmtId="0" fontId="4" fillId="2" borderId="10" xfId="0" applyFont="1" applyFill="1" applyBorder="1" applyAlignment="1" applyProtection="1">
      <alignment vertical="center"/>
      <protection locked="0"/>
    </xf>
    <xf numFmtId="0" fontId="4" fillId="7" borderId="12" xfId="0" applyFont="1" applyFill="1" applyBorder="1" applyAlignment="1" applyProtection="1">
      <alignment vertical="center"/>
      <protection locked="0"/>
    </xf>
    <xf numFmtId="3" fontId="4" fillId="3" borderId="4" xfId="0" applyNumberFormat="1" applyFont="1" applyFill="1" applyBorder="1" applyAlignment="1" applyProtection="1">
      <alignment horizontal="fill" vertical="center"/>
    </xf>
    <xf numFmtId="166" fontId="4" fillId="3" borderId="4" xfId="0" applyNumberFormat="1" applyFont="1" applyFill="1" applyBorder="1" applyAlignment="1" applyProtection="1">
      <alignment vertical="center"/>
    </xf>
    <xf numFmtId="37" fontId="4" fillId="3" borderId="4" xfId="0" quotePrefix="1" applyNumberFormat="1" applyFont="1" applyFill="1" applyBorder="1" applyAlignment="1" applyProtection="1">
      <alignment horizontal="right" vertical="center"/>
    </xf>
    <xf numFmtId="37" fontId="4" fillId="7" borderId="10" xfId="0" applyNumberFormat="1" applyFont="1" applyFill="1" applyBorder="1" applyAlignment="1" applyProtection="1">
      <alignment horizontal="left" vertical="center"/>
      <protection locked="0"/>
    </xf>
    <xf numFmtId="0" fontId="4" fillId="3" borderId="0" xfId="0" applyFont="1" applyFill="1" applyAlignment="1">
      <alignment horizontal="center" vertical="center"/>
    </xf>
    <xf numFmtId="0" fontId="3" fillId="3" borderId="0" xfId="0" applyFont="1" applyFill="1" applyAlignment="1">
      <alignment horizontal="center" vertical="center"/>
    </xf>
    <xf numFmtId="0" fontId="17" fillId="3" borderId="0" xfId="0" applyFont="1" applyFill="1" applyAlignment="1">
      <alignment horizontal="center" vertical="center"/>
    </xf>
    <xf numFmtId="0" fontId="4" fillId="3" borderId="8" xfId="0" applyFont="1" applyFill="1" applyBorder="1" applyAlignment="1">
      <alignment vertical="center"/>
    </xf>
    <xf numFmtId="0" fontId="11" fillId="3" borderId="2" xfId="0" applyFont="1" applyFill="1" applyBorder="1" applyAlignment="1">
      <alignment vertical="center"/>
    </xf>
    <xf numFmtId="0" fontId="11" fillId="3" borderId="8" xfId="0" applyFont="1" applyFill="1" applyBorder="1" applyAlignment="1">
      <alignment horizontal="center" vertical="center"/>
    </xf>
    <xf numFmtId="0" fontId="11" fillId="3" borderId="14" xfId="0" applyFont="1" applyFill="1" applyBorder="1" applyAlignment="1">
      <alignment vertical="center"/>
    </xf>
    <xf numFmtId="0" fontId="11" fillId="3" borderId="1"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11" fillId="3" borderId="12" xfId="0" applyFont="1" applyFill="1" applyBorder="1" applyAlignment="1">
      <alignment vertical="center"/>
    </xf>
    <xf numFmtId="3" fontId="11" fillId="2" borderId="1" xfId="0" applyNumberFormat="1" applyFont="1" applyFill="1" applyBorder="1" applyAlignment="1" applyProtection="1">
      <alignment horizontal="center" vertical="center"/>
      <protection locked="0"/>
    </xf>
    <xf numFmtId="0" fontId="11" fillId="3" borderId="4" xfId="0" applyFont="1" applyFill="1" applyBorder="1" applyAlignment="1">
      <alignment vertical="center"/>
    </xf>
    <xf numFmtId="3" fontId="11" fillId="8" borderId="1" xfId="0" applyNumberFormat="1" applyFont="1" applyFill="1" applyBorder="1" applyAlignment="1">
      <alignment horizontal="center" vertical="center"/>
    </xf>
    <xf numFmtId="0" fontId="11" fillId="3" borderId="0" xfId="0" applyFont="1" applyFill="1" applyAlignment="1">
      <alignment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1" fillId="2" borderId="1"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3" fontId="11" fillId="2" borderId="14" xfId="0" applyNumberFormat="1" applyFont="1" applyFill="1" applyBorder="1" applyAlignment="1" applyProtection="1">
      <alignment horizontal="center" vertical="center"/>
      <protection locked="0"/>
    </xf>
    <xf numFmtId="0" fontId="11" fillId="2" borderId="0" xfId="0" applyFont="1" applyFill="1" applyAlignment="1" applyProtection="1">
      <alignment vertical="center"/>
      <protection locked="0"/>
    </xf>
    <xf numFmtId="3" fontId="11" fillId="2" borderId="7" xfId="0" applyNumberFormat="1" applyFont="1" applyFill="1" applyBorder="1" applyAlignment="1" applyProtection="1">
      <alignment horizontal="center" vertical="center"/>
      <protection locked="0"/>
    </xf>
    <xf numFmtId="3" fontId="11" fillId="2" borderId="8" xfId="0" applyNumberFormat="1" applyFont="1" applyFill="1" applyBorder="1" applyAlignment="1" applyProtection="1">
      <alignment horizontal="center" vertical="center"/>
      <protection locked="0"/>
    </xf>
    <xf numFmtId="0" fontId="11" fillId="2" borderId="8"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3" fontId="11" fillId="2" borderId="16" xfId="0" applyNumberFormat="1" applyFont="1" applyFill="1" applyBorder="1" applyAlignment="1" applyProtection="1">
      <alignment horizontal="center" vertical="center"/>
      <protection locked="0"/>
    </xf>
    <xf numFmtId="0" fontId="11" fillId="2" borderId="16" xfId="0" applyFont="1" applyFill="1" applyBorder="1" applyAlignment="1" applyProtection="1">
      <alignment vertical="center"/>
      <protection locked="0"/>
    </xf>
    <xf numFmtId="0" fontId="11" fillId="8" borderId="1" xfId="0" applyFont="1" applyFill="1" applyBorder="1" applyAlignment="1">
      <alignment horizontal="center" vertical="center"/>
    </xf>
    <xf numFmtId="0" fontId="11" fillId="8" borderId="3" xfId="0" applyFont="1" applyFill="1" applyBorder="1" applyAlignment="1">
      <alignment horizontal="center" vertical="center"/>
    </xf>
    <xf numFmtId="3" fontId="11" fillId="2" borderId="3" xfId="0" applyNumberFormat="1" applyFont="1" applyFill="1" applyBorder="1" applyAlignment="1" applyProtection="1">
      <alignment horizontal="center" vertical="center"/>
      <protection locked="0"/>
    </xf>
    <xf numFmtId="3" fontId="11" fillId="2" borderId="11" xfId="0" applyNumberFormat="1" applyFont="1" applyFill="1" applyBorder="1" applyAlignment="1" applyProtection="1">
      <alignment horizontal="center" vertical="center"/>
      <protection locked="0"/>
    </xf>
    <xf numFmtId="3" fontId="15" fillId="9" borderId="1" xfId="0" applyNumberFormat="1" applyFont="1" applyFill="1" applyBorder="1" applyAlignment="1">
      <alignment horizontal="center" vertical="center"/>
    </xf>
    <xf numFmtId="3" fontId="4" fillId="3" borderId="0" xfId="0" applyNumberFormat="1" applyFont="1" applyFill="1" applyAlignment="1">
      <alignment vertical="center"/>
    </xf>
    <xf numFmtId="3" fontId="4" fillId="0" borderId="0" xfId="0" applyNumberFormat="1" applyFont="1" applyAlignment="1">
      <alignment vertical="center"/>
    </xf>
    <xf numFmtId="0" fontId="4" fillId="0" borderId="0" xfId="0" applyFont="1" applyAlignment="1">
      <alignment horizontal="centerContinuous" vertical="center"/>
    </xf>
    <xf numFmtId="1" fontId="4" fillId="3" borderId="10" xfId="0" applyNumberFormat="1" applyFont="1" applyFill="1" applyBorder="1" applyAlignment="1" applyProtection="1">
      <alignment horizontal="centerContinuous" vertical="center"/>
    </xf>
    <xf numFmtId="37" fontId="4" fillId="3" borderId="3" xfId="0" applyNumberFormat="1" applyFont="1" applyFill="1" applyBorder="1" applyAlignment="1" applyProtection="1">
      <alignment horizontal="fill" vertical="center"/>
    </xf>
    <xf numFmtId="1" fontId="5" fillId="3" borderId="0" xfId="0" applyNumberFormat="1" applyFont="1" applyFill="1" applyAlignment="1" applyProtection="1">
      <alignment horizontal="center" vertical="center"/>
    </xf>
    <xf numFmtId="3" fontId="4" fillId="3" borderId="4" xfId="0" applyNumberFormat="1" applyFont="1" applyFill="1" applyBorder="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3" fontId="4" fillId="2" borderId="1" xfId="0" applyNumberFormat="1" applyFont="1" applyFill="1" applyBorder="1" applyAlignment="1" applyProtection="1">
      <alignment horizontal="center" vertical="center"/>
      <protection locked="0"/>
    </xf>
    <xf numFmtId="172" fontId="4" fillId="3" borderId="1" xfId="0" applyNumberFormat="1" applyFont="1" applyFill="1" applyBorder="1" applyAlignment="1" applyProtection="1">
      <alignment horizontal="center" vertical="center"/>
    </xf>
    <xf numFmtId="3" fontId="4" fillId="2" borderId="2" xfId="0" applyNumberFormat="1" applyFont="1" applyFill="1" applyBorder="1" applyAlignment="1" applyProtection="1">
      <alignment horizontal="center" vertical="center"/>
      <protection locked="0"/>
    </xf>
    <xf numFmtId="3" fontId="4" fillId="3" borderId="15" xfId="0" applyNumberFormat="1" applyFont="1" applyFill="1" applyBorder="1" applyAlignment="1" applyProtection="1">
      <alignment horizontal="center" vertical="center"/>
    </xf>
    <xf numFmtId="172" fontId="4" fillId="3" borderId="15" xfId="0" applyNumberFormat="1" applyFont="1" applyFill="1" applyBorder="1" applyAlignment="1" applyProtection="1">
      <alignment horizontal="center" vertical="center"/>
    </xf>
    <xf numFmtId="172" fontId="4" fillId="3" borderId="4" xfId="0" applyNumberFormat="1" applyFont="1" applyFill="1" applyBorder="1" applyAlignment="1" applyProtection="1">
      <alignment horizontal="center" vertical="center"/>
    </xf>
    <xf numFmtId="172" fontId="4" fillId="3" borderId="0" xfId="0" applyNumberFormat="1" applyFont="1" applyFill="1" applyBorder="1" applyAlignment="1" applyProtection="1">
      <alignment horizontal="center" vertical="center"/>
    </xf>
    <xf numFmtId="3" fontId="4" fillId="3" borderId="4" xfId="0" applyNumberFormat="1" applyFont="1" applyFill="1" applyBorder="1" applyAlignment="1">
      <alignment horizontal="center" vertical="center"/>
    </xf>
    <xf numFmtId="0" fontId="0" fillId="3" borderId="0" xfId="0" applyFill="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vertical="center"/>
    </xf>
    <xf numFmtId="0" fontId="0" fillId="0" borderId="0" xfId="0" applyNumberFormat="1" applyFont="1" applyFill="1" applyBorder="1" applyAlignment="1" applyProtection="1">
      <alignment vertical="center"/>
    </xf>
    <xf numFmtId="3" fontId="25" fillId="9" borderId="0" xfId="0" applyNumberFormat="1" applyFont="1" applyFill="1" applyAlignment="1">
      <alignment horizontal="center" vertical="center"/>
    </xf>
    <xf numFmtId="0" fontId="2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wrapText="1"/>
    </xf>
    <xf numFmtId="0" fontId="4" fillId="0" borderId="0" xfId="28" applyFont="1" applyAlignment="1">
      <alignment vertical="center"/>
    </xf>
    <xf numFmtId="0" fontId="4" fillId="0" borderId="0" xfId="474" applyFont="1" applyAlignment="1">
      <alignment vertical="center"/>
    </xf>
    <xf numFmtId="0" fontId="4" fillId="2" borderId="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13" fillId="0" borderId="0" xfId="0" applyFont="1" applyAlignment="1">
      <alignment horizontal="center"/>
    </xf>
    <xf numFmtId="0" fontId="2" fillId="0" borderId="0" xfId="0" applyFont="1"/>
    <xf numFmtId="0" fontId="27" fillId="0" borderId="0" xfId="0" applyFont="1"/>
    <xf numFmtId="0" fontId="27" fillId="0" borderId="0" xfId="0" applyFont="1" applyAlignment="1"/>
    <xf numFmtId="0" fontId="0" fillId="0" borderId="0" xfId="0" applyAlignment="1"/>
    <xf numFmtId="0" fontId="27" fillId="0" borderId="0" xfId="0" applyFont="1" applyAlignment="1">
      <alignment horizontal="center"/>
    </xf>
    <xf numFmtId="0" fontId="4" fillId="0" borderId="0" xfId="95" applyFont="1" applyAlignment="1">
      <alignment vertical="center"/>
    </xf>
    <xf numFmtId="0" fontId="5" fillId="0" borderId="0" xfId="100" applyFont="1" applyAlignment="1">
      <alignment vertical="center"/>
    </xf>
    <xf numFmtId="0" fontId="4" fillId="3" borderId="0" xfId="0" applyFont="1" applyFill="1"/>
    <xf numFmtId="0" fontId="42"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7" fontId="14" fillId="9" borderId="10" xfId="0" applyNumberFormat="1" applyFont="1" applyFill="1" applyBorder="1" applyAlignment="1" applyProtection="1">
      <alignment horizontal="center" vertical="center"/>
    </xf>
    <xf numFmtId="14" fontId="4" fillId="7" borderId="1" xfId="0" applyNumberFormat="1" applyFont="1" applyFill="1" applyBorder="1" applyAlignment="1" applyProtection="1">
      <alignment horizontal="center" vertical="center"/>
      <protection locked="0"/>
    </xf>
    <xf numFmtId="3" fontId="4" fillId="3" borderId="10" xfId="0" applyNumberFormat="1" applyFont="1" applyFill="1" applyBorder="1" applyAlignment="1" applyProtection="1">
      <alignment vertical="center"/>
    </xf>
    <xf numFmtId="0" fontId="4" fillId="3" borderId="12" xfId="0" applyNumberFormat="1" applyFont="1" applyFill="1" applyBorder="1" applyAlignment="1" applyProtection="1">
      <alignment horizontal="center" vertical="center"/>
    </xf>
    <xf numFmtId="3" fontId="14" fillId="9" borderId="10" xfId="0" applyNumberFormat="1" applyFont="1" applyFill="1" applyBorder="1" applyAlignment="1" applyProtection="1">
      <alignment horizontal="center" vertical="center"/>
    </xf>
    <xf numFmtId="3" fontId="3" fillId="3" borderId="10" xfId="0" applyNumberFormat="1" applyFont="1" applyFill="1" applyBorder="1" applyAlignment="1" applyProtection="1">
      <alignment vertical="center"/>
    </xf>
    <xf numFmtId="3" fontId="4" fillId="10" borderId="15" xfId="0" applyNumberFormat="1" applyFont="1" applyFill="1" applyBorder="1" applyAlignment="1" applyProtection="1">
      <alignment vertical="center"/>
    </xf>
    <xf numFmtId="37" fontId="14" fillId="9" borderId="1" xfId="0" applyNumberFormat="1" applyFont="1" applyFill="1" applyBorder="1" applyAlignment="1" applyProtection="1">
      <alignment horizontal="center" vertical="center"/>
    </xf>
    <xf numFmtId="37" fontId="4" fillId="0" borderId="0" xfId="0" applyNumberFormat="1" applyFont="1" applyFill="1" applyAlignment="1" applyProtection="1">
      <alignment horizontal="right" vertical="center"/>
    </xf>
    <xf numFmtId="0" fontId="4" fillId="3" borderId="0" xfId="63" applyFont="1" applyFill="1" applyAlignment="1" applyProtection="1">
      <alignment horizontal="right" vertical="center"/>
    </xf>
    <xf numFmtId="0" fontId="4" fillId="3" borderId="0" xfId="15" applyNumberFormat="1" applyFont="1" applyFill="1" applyBorder="1" applyAlignment="1" applyProtection="1">
      <alignment horizontal="right" vertical="center"/>
    </xf>
    <xf numFmtId="37" fontId="4" fillId="3" borderId="0" xfId="0" quotePrefix="1" applyNumberFormat="1" applyFont="1" applyFill="1" applyAlignment="1" applyProtection="1">
      <alignment horizontal="right" vertical="center"/>
    </xf>
    <xf numFmtId="37" fontId="4" fillId="3" borderId="0" xfId="0" applyNumberFormat="1" applyFont="1" applyFill="1" applyAlignment="1" applyProtection="1">
      <alignment horizontal="fill" vertical="center"/>
    </xf>
    <xf numFmtId="3" fontId="14" fillId="10" borderId="8" xfId="0" applyNumberFormat="1" applyFont="1" applyFill="1" applyBorder="1" applyAlignment="1" applyProtection="1">
      <alignment horizontal="center" vertical="center"/>
    </xf>
    <xf numFmtId="0" fontId="4" fillId="3" borderId="10" xfId="0" applyFont="1" applyFill="1" applyBorder="1" applyAlignment="1" applyProtection="1">
      <alignment vertical="center"/>
      <protection locked="0"/>
    </xf>
    <xf numFmtId="3" fontId="14" fillId="10" borderId="10" xfId="0" applyNumberFormat="1" applyFont="1" applyFill="1" applyBorder="1" applyAlignment="1" applyProtection="1">
      <alignment horizontal="center" vertical="center"/>
    </xf>
    <xf numFmtId="37" fontId="4" fillId="2" borderId="10" xfId="0" applyNumberFormat="1" applyFont="1" applyFill="1" applyBorder="1" applyAlignment="1" applyProtection="1">
      <alignment horizontal="right" vertical="center"/>
      <protection locked="0"/>
    </xf>
    <xf numFmtId="37" fontId="3" fillId="3" borderId="4" xfId="0" applyNumberFormat="1" applyFont="1" applyFill="1" applyBorder="1" applyAlignment="1" applyProtection="1">
      <alignment vertical="center"/>
    </xf>
    <xf numFmtId="37" fontId="3" fillId="3" borderId="0" xfId="0" applyNumberFormat="1" applyFont="1" applyFill="1" applyBorder="1" applyAlignment="1" applyProtection="1">
      <alignment vertical="center"/>
    </xf>
    <xf numFmtId="3" fontId="14" fillId="9" borderId="1" xfId="0" applyNumberFormat="1" applyFont="1" applyFill="1" applyBorder="1" applyAlignment="1" applyProtection="1">
      <alignment horizontal="center" vertical="center"/>
    </xf>
    <xf numFmtId="3" fontId="14" fillId="10" borderId="1" xfId="0" applyNumberFormat="1" applyFont="1" applyFill="1" applyBorder="1" applyAlignment="1" applyProtection="1">
      <alignment horizontal="center" vertical="center"/>
    </xf>
    <xf numFmtId="0" fontId="43" fillId="3" borderId="0" xfId="0" applyFont="1" applyFill="1" applyAlignment="1" applyProtection="1">
      <alignment horizontal="center" vertical="center"/>
    </xf>
    <xf numFmtId="0" fontId="43" fillId="0" borderId="0" xfId="0" applyFont="1" applyAlignment="1" applyProtection="1">
      <alignment vertical="center"/>
      <protection locked="0"/>
    </xf>
    <xf numFmtId="37" fontId="3" fillId="3" borderId="12" xfId="0" applyNumberFormat="1" applyFont="1" applyFill="1" applyBorder="1" applyAlignment="1" applyProtection="1">
      <alignment horizontal="left" vertical="center"/>
    </xf>
    <xf numFmtId="0" fontId="7" fillId="12" borderId="0" xfId="0" applyFont="1" applyFill="1" applyAlignment="1" applyProtection="1">
      <alignment vertical="center" shrinkToFit="1"/>
    </xf>
    <xf numFmtId="0" fontId="0" fillId="12" borderId="0" xfId="0" applyFill="1" applyBorder="1" applyAlignment="1" applyProtection="1">
      <alignment vertical="center"/>
    </xf>
    <xf numFmtId="0" fontId="14" fillId="12" borderId="0" xfId="0" applyFont="1" applyFill="1" applyBorder="1" applyAlignment="1" applyProtection="1">
      <alignment horizontal="center" vertical="center"/>
    </xf>
    <xf numFmtId="37" fontId="4" fillId="12" borderId="0" xfId="0" applyNumberFormat="1" applyFont="1" applyFill="1" applyBorder="1" applyAlignment="1" applyProtection="1">
      <alignment horizontal="left" vertical="center"/>
    </xf>
    <xf numFmtId="0" fontId="4" fillId="12" borderId="0" xfId="0" applyFont="1" applyFill="1" applyBorder="1" applyAlignment="1" applyProtection="1">
      <alignment vertical="center"/>
    </xf>
    <xf numFmtId="37" fontId="4" fillId="12" borderId="0" xfId="0" applyNumberFormat="1" applyFont="1" applyFill="1" applyBorder="1" applyAlignment="1" applyProtection="1">
      <alignment vertical="center"/>
    </xf>
    <xf numFmtId="3" fontId="4" fillId="13" borderId="15" xfId="0" applyNumberFormat="1" applyFont="1" applyFill="1" applyBorder="1" applyAlignment="1" applyProtection="1">
      <alignment vertical="center"/>
    </xf>
    <xf numFmtId="3" fontId="11" fillId="8" borderId="3" xfId="0" applyNumberFormat="1" applyFont="1" applyFill="1" applyBorder="1" applyAlignment="1">
      <alignment horizontal="center" vertical="center"/>
    </xf>
    <xf numFmtId="49" fontId="4" fillId="2" borderId="1" xfId="0" applyNumberFormat="1" applyFont="1" applyFill="1" applyBorder="1" applyAlignment="1" applyProtection="1">
      <alignment vertical="center"/>
      <protection locked="0"/>
    </xf>
    <xf numFmtId="49" fontId="4" fillId="7" borderId="1" xfId="0" applyNumberFormat="1" applyFont="1" applyFill="1" applyBorder="1" applyAlignment="1" applyProtection="1">
      <alignment vertical="center"/>
      <protection locked="0"/>
    </xf>
    <xf numFmtId="0" fontId="33" fillId="0" borderId="0" xfId="0" applyFont="1" applyAlignment="1" applyProtection="1">
      <alignment vertical="center"/>
    </xf>
    <xf numFmtId="0" fontId="0" fillId="12" borderId="0" xfId="0" applyFill="1" applyAlignment="1" applyProtection="1">
      <alignment vertical="center"/>
      <protection locked="0"/>
    </xf>
    <xf numFmtId="0" fontId="4" fillId="12" borderId="0" xfId="58" applyFont="1" applyFill="1" applyBorder="1" applyAlignment="1" applyProtection="1">
      <alignment vertical="center"/>
      <protection locked="0"/>
    </xf>
    <xf numFmtId="0" fontId="30" fillId="12" borderId="0" xfId="58" applyFont="1" applyFill="1" applyBorder="1" applyAlignment="1" applyProtection="1">
      <alignment vertical="center"/>
      <protection locked="0"/>
    </xf>
    <xf numFmtId="173" fontId="30" fillId="14" borderId="1" xfId="58" applyNumberFormat="1" applyFont="1" applyFill="1" applyBorder="1" applyAlignment="1" applyProtection="1">
      <alignment horizontal="center" vertical="center"/>
      <protection locked="0"/>
    </xf>
    <xf numFmtId="0" fontId="4" fillId="12" borderId="16" xfId="58" applyFont="1" applyFill="1" applyBorder="1" applyAlignment="1" applyProtection="1">
      <alignment vertical="center"/>
    </xf>
    <xf numFmtId="173" fontId="30" fillId="12" borderId="6" xfId="58" applyNumberFormat="1" applyFont="1" applyFill="1" applyBorder="1" applyAlignment="1" applyProtection="1">
      <alignment horizontal="center" vertical="center"/>
    </xf>
    <xf numFmtId="0" fontId="30" fillId="12" borderId="0" xfId="58" applyFont="1" applyFill="1" applyBorder="1" applyAlignment="1" applyProtection="1">
      <alignment horizontal="left" vertical="center"/>
    </xf>
    <xf numFmtId="0" fontId="30" fillId="12" borderId="16" xfId="58" applyFont="1" applyFill="1" applyBorder="1" applyAlignment="1" applyProtection="1">
      <alignment vertical="center"/>
    </xf>
    <xf numFmtId="0" fontId="30" fillId="12" borderId="0" xfId="58" applyFont="1" applyFill="1" applyBorder="1" applyAlignment="1" applyProtection="1">
      <alignment vertical="center"/>
    </xf>
    <xf numFmtId="173" fontId="30" fillId="12" borderId="12" xfId="58" applyNumberFormat="1" applyFont="1" applyFill="1" applyBorder="1" applyAlignment="1" applyProtection="1">
      <alignment horizontal="center" vertical="center"/>
    </xf>
    <xf numFmtId="173" fontId="30" fillId="12" borderId="6" xfId="58" applyNumberFormat="1" applyFont="1" applyFill="1" applyBorder="1" applyAlignment="1" applyProtection="1">
      <alignment vertical="center"/>
    </xf>
    <xf numFmtId="0" fontId="32" fillId="15" borderId="4" xfId="58" applyFont="1" applyFill="1" applyBorder="1" applyAlignment="1" applyProtection="1">
      <alignment vertical="center"/>
    </xf>
    <xf numFmtId="0" fontId="30" fillId="15" borderId="7" xfId="58" applyFont="1" applyFill="1" applyBorder="1" applyAlignment="1" applyProtection="1">
      <alignment vertical="center"/>
    </xf>
    <xf numFmtId="0" fontId="4" fillId="15" borderId="7" xfId="58" applyFont="1" applyFill="1" applyBorder="1" applyAlignment="1" applyProtection="1">
      <alignment vertical="center"/>
    </xf>
    <xf numFmtId="0" fontId="30" fillId="12" borderId="6" xfId="58" applyFont="1" applyFill="1" applyBorder="1" applyAlignment="1" applyProtection="1">
      <alignment horizontal="left" vertical="center"/>
    </xf>
    <xf numFmtId="173" fontId="32" fillId="15" borderId="12" xfId="58" applyNumberFormat="1" applyFont="1" applyFill="1" applyBorder="1" applyAlignment="1" applyProtection="1">
      <alignment horizontal="center" vertical="center"/>
    </xf>
    <xf numFmtId="0" fontId="5" fillId="0" borderId="0" xfId="101" applyFont="1" applyAlignment="1">
      <alignment vertical="center"/>
    </xf>
    <xf numFmtId="0" fontId="4" fillId="0" borderId="0" xfId="63" applyFont="1" applyAlignment="1">
      <alignment vertical="center" wrapText="1"/>
    </xf>
    <xf numFmtId="0" fontId="4" fillId="0" borderId="0" xfId="63" applyFont="1" applyAlignment="1">
      <alignment vertical="center"/>
    </xf>
    <xf numFmtId="3" fontId="4" fillId="9" borderId="10" xfId="0" applyNumberFormat="1" applyFont="1" applyFill="1" applyBorder="1" applyAlignment="1" applyProtection="1">
      <alignment vertical="center"/>
    </xf>
    <xf numFmtId="3" fontId="4" fillId="3" borderId="3" xfId="0" applyNumberFormat="1" applyFont="1" applyFill="1" applyBorder="1" applyAlignment="1" applyProtection="1">
      <alignment vertical="center"/>
    </xf>
    <xf numFmtId="3" fontId="4" fillId="3" borderId="2" xfId="0" applyNumberFormat="1" applyFont="1" applyFill="1" applyBorder="1" applyAlignment="1" applyProtection="1">
      <alignment vertical="center"/>
    </xf>
    <xf numFmtId="173" fontId="11" fillId="15" borderId="12" xfId="58" applyNumberFormat="1" applyFont="1" applyFill="1" applyBorder="1" applyAlignment="1" applyProtection="1">
      <alignment horizontal="center" vertical="center"/>
    </xf>
    <xf numFmtId="0" fontId="11" fillId="15" borderId="4" xfId="58" applyFont="1" applyFill="1" applyBorder="1" applyAlignment="1" applyProtection="1">
      <alignment vertical="center"/>
    </xf>
    <xf numFmtId="0" fontId="36" fillId="16" borderId="0" xfId="0" applyFont="1" applyFill="1"/>
    <xf numFmtId="0" fontId="36" fillId="12" borderId="0" xfId="0" applyFont="1" applyFill="1"/>
    <xf numFmtId="0" fontId="44" fillId="16" borderId="0" xfId="0" applyFont="1" applyFill="1" applyAlignment="1">
      <alignment horizontal="center" wrapText="1"/>
    </xf>
    <xf numFmtId="0" fontId="44" fillId="12" borderId="0" xfId="0" applyFont="1" applyFill="1"/>
    <xf numFmtId="0" fontId="36" fillId="12" borderId="0" xfId="0" applyFont="1" applyFill="1" applyAlignment="1">
      <alignment horizontal="center"/>
    </xf>
    <xf numFmtId="0" fontId="44" fillId="12" borderId="17" xfId="0" applyFont="1" applyFill="1" applyBorder="1"/>
    <xf numFmtId="0" fontId="36" fillId="12" borderId="18" xfId="0" applyFont="1" applyFill="1" applyBorder="1"/>
    <xf numFmtId="0" fontId="36" fillId="12" borderId="19" xfId="0" applyFont="1" applyFill="1" applyBorder="1"/>
    <xf numFmtId="173" fontId="36" fillId="12" borderId="20" xfId="0" applyNumberFormat="1" applyFont="1" applyFill="1" applyBorder="1"/>
    <xf numFmtId="0" fontId="36" fillId="12" borderId="0" xfId="0" applyFont="1" applyFill="1" applyBorder="1"/>
    <xf numFmtId="0" fontId="36" fillId="12" borderId="21" xfId="0" applyFont="1" applyFill="1" applyBorder="1"/>
    <xf numFmtId="0" fontId="36" fillId="12" borderId="22" xfId="0" applyFont="1" applyFill="1" applyBorder="1"/>
    <xf numFmtId="0" fontId="36" fillId="12" borderId="23" xfId="0" applyFont="1" applyFill="1" applyBorder="1"/>
    <xf numFmtId="0" fontId="36" fillId="12" borderId="24" xfId="0" applyFont="1" applyFill="1" applyBorder="1"/>
    <xf numFmtId="0" fontId="36" fillId="12" borderId="17" xfId="0" applyFont="1" applyFill="1" applyBorder="1"/>
    <xf numFmtId="0" fontId="36" fillId="12" borderId="25" xfId="0" applyFont="1" applyFill="1" applyBorder="1"/>
    <xf numFmtId="173" fontId="36" fillId="14" borderId="20" xfId="0" applyNumberFormat="1" applyFont="1" applyFill="1" applyBorder="1" applyAlignment="1" applyProtection="1">
      <alignment horizontal="center"/>
      <protection locked="0"/>
    </xf>
    <xf numFmtId="172" fontId="36" fillId="12" borderId="0" xfId="0" applyNumberFormat="1" applyFont="1" applyFill="1" applyBorder="1" applyAlignment="1">
      <alignment horizontal="center"/>
    </xf>
    <xf numFmtId="0" fontId="45" fillId="0" borderId="0" xfId="0" applyFont="1" applyBorder="1"/>
    <xf numFmtId="0" fontId="36" fillId="0" borderId="0" xfId="0" applyFont="1" applyBorder="1"/>
    <xf numFmtId="0" fontId="44" fillId="0" borderId="0" xfId="0" applyFont="1" applyBorder="1" applyAlignment="1">
      <alignment horizontal="centerContinuous"/>
    </xf>
    <xf numFmtId="0" fontId="36" fillId="0" borderId="0" xfId="0" applyFont="1" applyBorder="1" applyAlignment="1">
      <alignment horizontal="centerContinuous"/>
    </xf>
    <xf numFmtId="0" fontId="36" fillId="16" borderId="0" xfId="0" applyFont="1" applyFill="1" applyBorder="1"/>
    <xf numFmtId="0" fontId="36" fillId="12" borderId="26" xfId="0" applyFont="1" applyFill="1" applyBorder="1"/>
    <xf numFmtId="0" fontId="36" fillId="12" borderId="9" xfId="0" applyFont="1" applyFill="1" applyBorder="1"/>
    <xf numFmtId="0" fontId="36" fillId="12" borderId="27" xfId="0" applyFont="1" applyFill="1" applyBorder="1"/>
    <xf numFmtId="5" fontId="36" fillId="12" borderId="23" xfId="0" applyNumberFormat="1" applyFont="1" applyFill="1" applyBorder="1" applyAlignment="1">
      <alignment horizontal="center"/>
    </xf>
    <xf numFmtId="0" fontId="36" fillId="12" borderId="23" xfId="0" applyFont="1" applyFill="1" applyBorder="1" applyAlignment="1">
      <alignment horizontal="center"/>
    </xf>
    <xf numFmtId="172" fontId="36" fillId="12" borderId="23" xfId="0" applyNumberFormat="1" applyFont="1" applyFill="1" applyBorder="1" applyAlignment="1">
      <alignment horizontal="center"/>
    </xf>
    <xf numFmtId="174" fontId="36" fillId="12" borderId="23" xfId="0" applyNumberFormat="1" applyFont="1" applyFill="1" applyBorder="1" applyAlignment="1">
      <alignment horizontal="center"/>
    </xf>
    <xf numFmtId="0" fontId="36" fillId="12" borderId="0" xfId="0" applyFont="1" applyFill="1" applyAlignment="1">
      <alignment horizontal="center" wrapText="1"/>
    </xf>
    <xf numFmtId="0" fontId="44" fillId="12" borderId="17" xfId="0" applyFont="1" applyFill="1" applyBorder="1" applyAlignment="1"/>
    <xf numFmtId="0" fontId="36" fillId="12" borderId="18" xfId="0" applyFont="1" applyFill="1" applyBorder="1" applyAlignment="1"/>
    <xf numFmtId="0" fontId="36" fillId="12" borderId="19" xfId="0" applyFont="1" applyFill="1" applyBorder="1" applyAlignment="1"/>
    <xf numFmtId="0" fontId="36" fillId="12" borderId="25" xfId="0" applyFont="1" applyFill="1" applyBorder="1" applyAlignment="1"/>
    <xf numFmtId="0" fontId="36" fillId="12" borderId="21" xfId="0" applyFont="1" applyFill="1" applyBorder="1" applyAlignment="1"/>
    <xf numFmtId="0" fontId="36" fillId="12" borderId="26" xfId="0" applyFont="1" applyFill="1" applyBorder="1" applyAlignment="1"/>
    <xf numFmtId="0" fontId="36" fillId="12" borderId="9" xfId="0" applyFont="1" applyFill="1" applyBorder="1" applyAlignment="1"/>
    <xf numFmtId="0" fontId="36" fillId="12" borderId="27" xfId="0" applyFont="1" applyFill="1" applyBorder="1" applyAlignment="1"/>
    <xf numFmtId="170" fontId="36" fillId="12" borderId="0" xfId="0" applyNumberFormat="1" applyFont="1" applyFill="1" applyBorder="1" applyAlignment="1">
      <alignment horizontal="center"/>
    </xf>
    <xf numFmtId="0" fontId="36" fillId="12" borderId="22" xfId="0" applyFont="1" applyFill="1" applyBorder="1" applyAlignment="1"/>
    <xf numFmtId="5" fontId="36" fillId="12" borderId="0" xfId="0" applyNumberFormat="1" applyFont="1" applyFill="1" applyBorder="1" applyAlignment="1">
      <alignment horizontal="center"/>
    </xf>
    <xf numFmtId="0" fontId="36" fillId="16" borderId="0" xfId="0" applyFont="1" applyFill="1" applyAlignment="1"/>
    <xf numFmtId="172" fontId="36" fillId="14" borderId="4" xfId="0" applyNumberFormat="1" applyFont="1" applyFill="1" applyBorder="1" applyAlignment="1" applyProtection="1">
      <alignment horizontal="center"/>
      <protection locked="0"/>
    </xf>
    <xf numFmtId="174" fontId="36" fillId="12" borderId="0" xfId="0" applyNumberFormat="1" applyFont="1" applyFill="1" applyBorder="1"/>
    <xf numFmtId="0" fontId="36" fillId="17" borderId="0" xfId="0" applyFont="1" applyFill="1"/>
    <xf numFmtId="0" fontId="24" fillId="0" borderId="0" xfId="0" applyFont="1" applyAlignment="1">
      <alignment horizontal="center"/>
    </xf>
    <xf numFmtId="0" fontId="3" fillId="0" borderId="0" xfId="0" applyFont="1" applyAlignment="1">
      <alignment wrapText="1"/>
    </xf>
    <xf numFmtId="0" fontId="20" fillId="0" borderId="0" xfId="0" applyFont="1"/>
    <xf numFmtId="0" fontId="46" fillId="0" borderId="0" xfId="0" applyFont="1" applyAlignment="1">
      <alignment wrapText="1"/>
    </xf>
    <xf numFmtId="0" fontId="19" fillId="0" borderId="0" xfId="0" applyFont="1" applyAlignment="1">
      <alignment wrapText="1"/>
    </xf>
    <xf numFmtId="0" fontId="20"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172" fontId="30" fillId="12" borderId="8" xfId="58" applyNumberFormat="1" applyFont="1" applyFill="1" applyBorder="1" applyAlignment="1" applyProtection="1">
      <alignment horizontal="center" vertical="center"/>
      <protection locked="0"/>
    </xf>
    <xf numFmtId="0" fontId="4" fillId="12" borderId="0" xfId="58" applyFont="1" applyFill="1" applyBorder="1" applyAlignment="1" applyProtection="1">
      <alignment vertical="center"/>
    </xf>
    <xf numFmtId="0" fontId="4" fillId="12" borderId="6" xfId="58" applyFont="1" applyFill="1" applyBorder="1" applyAlignment="1" applyProtection="1">
      <alignment vertical="center"/>
    </xf>
    <xf numFmtId="0" fontId="4" fillId="12" borderId="16" xfId="58" applyFont="1" applyFill="1" applyBorder="1" applyAlignment="1" applyProtection="1">
      <alignment vertical="center"/>
    </xf>
    <xf numFmtId="0" fontId="4" fillId="15" borderId="7" xfId="58" applyFont="1" applyFill="1" applyBorder="1" applyAlignment="1" applyProtection="1">
      <alignment vertical="center"/>
    </xf>
    <xf numFmtId="0" fontId="30" fillId="12" borderId="6" xfId="58" applyFont="1" applyFill="1" applyBorder="1" applyAlignment="1" applyProtection="1">
      <alignment vertical="center"/>
    </xf>
    <xf numFmtId="173" fontId="11" fillId="12" borderId="6" xfId="58" applyNumberFormat="1" applyFont="1" applyFill="1" applyBorder="1" applyAlignment="1" applyProtection="1">
      <alignment horizontal="center" vertical="center"/>
    </xf>
    <xf numFmtId="0" fontId="11" fillId="12" borderId="0" xfId="58" applyFont="1" applyFill="1" applyBorder="1" applyAlignment="1" applyProtection="1">
      <alignment horizontal="left" vertical="center"/>
    </xf>
    <xf numFmtId="0" fontId="11" fillId="12" borderId="0" xfId="58" applyFont="1" applyFill="1" applyBorder="1" applyAlignment="1" applyProtection="1">
      <alignment vertical="center"/>
    </xf>
    <xf numFmtId="173" fontId="11" fillId="12" borderId="12" xfId="58" applyNumberFormat="1" applyFont="1" applyFill="1" applyBorder="1" applyAlignment="1" applyProtection="1">
      <alignment horizontal="center" vertical="center"/>
    </xf>
    <xf numFmtId="173" fontId="11" fillId="12" borderId="6" xfId="58" applyNumberFormat="1" applyFont="1" applyFill="1" applyBorder="1" applyAlignment="1" applyProtection="1">
      <alignment vertical="center"/>
    </xf>
    <xf numFmtId="0" fontId="36" fillId="0" borderId="0" xfId="0" applyFont="1"/>
    <xf numFmtId="0" fontId="47" fillId="0" borderId="0" xfId="0" applyFont="1" applyAlignment="1">
      <alignment vertical="center"/>
    </xf>
    <xf numFmtId="172" fontId="4" fillId="14" borderId="16" xfId="59" applyNumberFormat="1" applyFont="1" applyFill="1" applyBorder="1" applyAlignment="1" applyProtection="1">
      <alignment horizontal="center"/>
      <protection locked="0"/>
    </xf>
    <xf numFmtId="0" fontId="30" fillId="12" borderId="6" xfId="59" applyFont="1" applyFill="1" applyBorder="1" applyProtection="1"/>
    <xf numFmtId="0" fontId="4" fillId="12" borderId="0" xfId="59" applyFont="1" applyFill="1" applyBorder="1" applyProtection="1"/>
    <xf numFmtId="173" fontId="4" fillId="12" borderId="16" xfId="59" applyNumberFormat="1" applyFont="1" applyFill="1" applyBorder="1" applyAlignment="1" applyProtection="1">
      <alignment horizontal="center"/>
    </xf>
    <xf numFmtId="0" fontId="4" fillId="12" borderId="12" xfId="59" applyFont="1" applyFill="1" applyBorder="1" applyProtection="1"/>
    <xf numFmtId="0" fontId="4" fillId="12" borderId="4" xfId="59" applyFont="1" applyFill="1" applyBorder="1" applyProtection="1"/>
    <xf numFmtId="173" fontId="4" fillId="15" borderId="7" xfId="59" applyNumberFormat="1" applyFont="1" applyFill="1" applyBorder="1" applyAlignment="1" applyProtection="1">
      <alignment horizontal="center"/>
    </xf>
    <xf numFmtId="0" fontId="4" fillId="0" borderId="0" xfId="59" applyFont="1" applyFill="1" applyBorder="1" applyProtection="1"/>
    <xf numFmtId="0" fontId="4" fillId="12" borderId="6" xfId="59" applyFont="1" applyFill="1" applyBorder="1" applyProtection="1"/>
    <xf numFmtId="0" fontId="4" fillId="12" borderId="16" xfId="59" applyFont="1" applyFill="1" applyBorder="1" applyProtection="1"/>
    <xf numFmtId="170" fontId="4" fillId="12" borderId="16" xfId="59" applyNumberFormat="1" applyFont="1" applyFill="1" applyBorder="1" applyAlignment="1" applyProtection="1">
      <alignment horizontal="center"/>
    </xf>
    <xf numFmtId="0" fontId="4" fillId="15" borderId="6" xfId="59" applyFont="1" applyFill="1" applyBorder="1" applyProtection="1"/>
    <xf numFmtId="0" fontId="4" fillId="15" borderId="0" xfId="59" applyFont="1" applyFill="1" applyBorder="1" applyProtection="1"/>
    <xf numFmtId="0" fontId="4" fillId="15" borderId="12" xfId="59" applyFont="1" applyFill="1" applyBorder="1" applyProtection="1"/>
    <xf numFmtId="0" fontId="4" fillId="15" borderId="4" xfId="59" applyFont="1" applyFill="1" applyBorder="1" applyProtection="1"/>
    <xf numFmtId="0" fontId="4" fillId="0" borderId="0" xfId="59" applyFont="1" applyProtection="1"/>
    <xf numFmtId="173" fontId="4" fillId="12" borderId="7" xfId="59" applyNumberFormat="1" applyFont="1" applyFill="1" applyBorder="1" applyAlignment="1" applyProtection="1">
      <alignment horizontal="center"/>
    </xf>
    <xf numFmtId="3" fontId="4" fillId="13" borderId="15" xfId="0" applyNumberFormat="1" applyFont="1" applyFill="1" applyBorder="1" applyAlignment="1" applyProtection="1">
      <alignment horizontal="center" vertical="center"/>
    </xf>
    <xf numFmtId="37" fontId="4" fillId="7" borderId="10" xfId="40" applyNumberFormat="1" applyFont="1" applyFill="1" applyBorder="1" applyAlignment="1" applyProtection="1">
      <alignment vertical="center"/>
      <protection locked="0"/>
    </xf>
    <xf numFmtId="164" fontId="4" fillId="3" borderId="0" xfId="0" applyNumberFormat="1" applyFont="1" applyFill="1" applyBorder="1" applyAlignment="1" applyProtection="1">
      <alignment vertical="center"/>
    </xf>
    <xf numFmtId="3" fontId="4" fillId="3" borderId="1" xfId="0" applyNumberFormat="1" applyFont="1" applyFill="1" applyBorder="1" applyAlignment="1" applyProtection="1">
      <alignment horizontal="right" vertical="center"/>
    </xf>
    <xf numFmtId="3" fontId="4" fillId="2" borderId="3" xfId="1" applyNumberFormat="1" applyFont="1" applyFill="1" applyBorder="1" applyAlignment="1" applyProtection="1">
      <alignment horizontal="right" vertical="center"/>
      <protection locked="0"/>
    </xf>
    <xf numFmtId="3" fontId="4" fillId="2" borderId="1" xfId="1" applyNumberFormat="1" applyFont="1" applyFill="1" applyBorder="1" applyAlignment="1" applyProtection="1">
      <alignment horizontal="right" vertical="center"/>
      <protection locked="0"/>
    </xf>
    <xf numFmtId="37" fontId="4" fillId="3" borderId="4" xfId="0" applyNumberFormat="1" applyFont="1" applyFill="1" applyBorder="1" applyAlignment="1" applyProtection="1">
      <alignment vertical="center"/>
      <protection locked="0"/>
    </xf>
    <xf numFmtId="0" fontId="3" fillId="3" borderId="4" xfId="0" applyFont="1" applyFill="1" applyBorder="1" applyAlignment="1" applyProtection="1">
      <alignment vertical="center"/>
    </xf>
    <xf numFmtId="0" fontId="44" fillId="12" borderId="25" xfId="0" applyFont="1" applyFill="1" applyBorder="1" applyAlignment="1">
      <alignment horizontal="centerContinuous" vertical="center"/>
    </xf>
    <xf numFmtId="173" fontId="44" fillId="12" borderId="0" xfId="0" applyNumberFormat="1" applyFont="1" applyFill="1" applyBorder="1" applyAlignment="1">
      <alignment horizontal="centerContinuous" vertical="center"/>
    </xf>
    <xf numFmtId="0" fontId="44" fillId="12" borderId="0" xfId="0" applyFont="1" applyFill="1" applyBorder="1" applyAlignment="1">
      <alignment horizontal="centerContinuous" vertical="center"/>
    </xf>
    <xf numFmtId="172" fontId="44" fillId="12" borderId="0" xfId="0" applyNumberFormat="1" applyFont="1" applyFill="1" applyBorder="1" applyAlignment="1" applyProtection="1">
      <alignment horizontal="centerContinuous" vertical="center"/>
      <protection locked="0"/>
    </xf>
    <xf numFmtId="174" fontId="44" fillId="12" borderId="0" xfId="0" applyNumberFormat="1" applyFont="1" applyFill="1" applyBorder="1" applyAlignment="1">
      <alignment horizontal="centerContinuous" vertical="center"/>
    </xf>
    <xf numFmtId="0" fontId="44" fillId="12" borderId="21" xfId="0" applyFont="1" applyFill="1" applyBorder="1" applyAlignment="1">
      <alignment horizontal="centerContinuous" vertical="center"/>
    </xf>
    <xf numFmtId="0" fontId="44" fillId="12" borderId="25" xfId="0" applyFont="1" applyFill="1" applyBorder="1" applyAlignment="1">
      <alignment horizontal="centerContinuous"/>
    </xf>
    <xf numFmtId="173" fontId="44" fillId="12" borderId="0" xfId="0" applyNumberFormat="1" applyFont="1" applyFill="1" applyBorder="1" applyAlignment="1">
      <alignment horizontal="centerContinuous"/>
    </xf>
    <xf numFmtId="0" fontId="44" fillId="12" borderId="0" xfId="0" applyFont="1" applyFill="1" applyBorder="1" applyAlignment="1">
      <alignment horizontal="centerContinuous"/>
    </xf>
    <xf numFmtId="172" fontId="44" fillId="12" borderId="0" xfId="0" applyNumberFormat="1" applyFont="1" applyFill="1" applyBorder="1" applyAlignment="1" applyProtection="1">
      <alignment horizontal="centerContinuous"/>
      <protection locked="0"/>
    </xf>
    <xf numFmtId="174" fontId="44" fillId="12" borderId="0" xfId="0" applyNumberFormat="1" applyFont="1" applyFill="1" applyBorder="1" applyAlignment="1">
      <alignment horizontal="centerContinuous"/>
    </xf>
    <xf numFmtId="0" fontId="44" fillId="12" borderId="21" xfId="0" applyFont="1" applyFill="1" applyBorder="1" applyAlignment="1">
      <alignment horizontal="centerContinuous"/>
    </xf>
    <xf numFmtId="173" fontId="36" fillId="0" borderId="0" xfId="0" applyNumberFormat="1" applyFont="1"/>
    <xf numFmtId="173" fontId="36" fillId="12" borderId="23" xfId="0" applyNumberFormat="1" applyFont="1" applyFill="1" applyBorder="1" applyAlignment="1">
      <alignment horizontal="center"/>
    </xf>
    <xf numFmtId="172" fontId="36" fillId="12" borderId="23" xfId="0" applyNumberFormat="1" applyFont="1" applyFill="1" applyBorder="1" applyAlignment="1" applyProtection="1">
      <alignment horizontal="center"/>
      <protection locked="0"/>
    </xf>
    <xf numFmtId="174" fontId="36" fillId="12" borderId="23" xfId="0" applyNumberFormat="1" applyFont="1" applyFill="1" applyBorder="1"/>
    <xf numFmtId="172" fontId="36" fillId="12" borderId="0" xfId="0" applyNumberFormat="1" applyFont="1" applyFill="1" applyBorder="1" applyAlignment="1" applyProtection="1">
      <alignment horizontal="center"/>
      <protection locked="0"/>
    </xf>
    <xf numFmtId="173" fontId="36" fillId="12" borderId="18" xfId="0" applyNumberFormat="1" applyFont="1" applyFill="1" applyBorder="1" applyAlignment="1">
      <alignment horizontal="center"/>
    </xf>
    <xf numFmtId="0" fontId="36" fillId="12" borderId="18" xfId="0" applyFont="1" applyFill="1" applyBorder="1" applyAlignment="1">
      <alignment horizontal="center"/>
    </xf>
    <xf numFmtId="172" fontId="36" fillId="12" borderId="18" xfId="0" applyNumberFormat="1" applyFont="1" applyFill="1" applyBorder="1" applyAlignment="1" applyProtection="1">
      <alignment horizontal="center"/>
      <protection locked="0"/>
    </xf>
    <xf numFmtId="174" fontId="36" fillId="12" borderId="18" xfId="0" applyNumberFormat="1" applyFont="1" applyFill="1" applyBorder="1"/>
    <xf numFmtId="173" fontId="36" fillId="12" borderId="0" xfId="0" applyNumberFormat="1" applyFont="1" applyFill="1" applyBorder="1" applyAlignment="1" applyProtection="1">
      <alignment horizontal="center"/>
      <protection locked="0"/>
    </xf>
    <xf numFmtId="173" fontId="4" fillId="15" borderId="16" xfId="59" applyNumberFormat="1" applyFont="1" applyFill="1" applyBorder="1" applyAlignment="1" applyProtection="1">
      <alignment horizontal="center"/>
    </xf>
    <xf numFmtId="0" fontId="4" fillId="15" borderId="12" xfId="0" applyFont="1" applyFill="1" applyBorder="1" applyAlignment="1">
      <alignment vertical="center"/>
    </xf>
    <xf numFmtId="0" fontId="4" fillId="15" borderId="4" xfId="0" applyFont="1" applyFill="1" applyBorder="1" applyAlignment="1">
      <alignment vertical="center"/>
    </xf>
    <xf numFmtId="173" fontId="4" fillId="15" borderId="7" xfId="0" applyNumberFormat="1" applyFont="1" applyFill="1" applyBorder="1" applyAlignment="1">
      <alignment horizontal="center" vertical="center"/>
    </xf>
    <xf numFmtId="0" fontId="7" fillId="4" borderId="1" xfId="0" applyFont="1" applyFill="1" applyBorder="1" applyAlignment="1" applyProtection="1">
      <alignment vertical="center" shrinkToFit="1"/>
    </xf>
    <xf numFmtId="0" fontId="4" fillId="12" borderId="0" xfId="0" applyFont="1" applyFill="1" applyAlignment="1" applyProtection="1">
      <alignment vertical="center"/>
      <protection locked="0"/>
    </xf>
    <xf numFmtId="37" fontId="4" fillId="12" borderId="0" xfId="0" applyNumberFormat="1" applyFont="1" applyFill="1" applyBorder="1" applyAlignment="1" applyProtection="1">
      <alignment horizontal="center" vertical="center"/>
    </xf>
    <xf numFmtId="0" fontId="4" fillId="3" borderId="12" xfId="0" applyFont="1" applyFill="1" applyBorder="1" applyAlignment="1" applyProtection="1">
      <alignment vertical="center"/>
    </xf>
    <xf numFmtId="0" fontId="4" fillId="3" borderId="0" xfId="0" applyFont="1" applyFill="1" applyBorder="1" applyAlignment="1" applyProtection="1">
      <alignment horizontal="center" vertical="center"/>
    </xf>
    <xf numFmtId="0" fontId="0" fillId="12" borderId="0" xfId="0" applyFill="1" applyBorder="1" applyAlignment="1" applyProtection="1">
      <alignment vertical="center" wrapText="1"/>
    </xf>
    <xf numFmtId="169" fontId="4" fillId="12" borderId="0" xfId="1" applyNumberFormat="1" applyFont="1" applyFill="1" applyBorder="1" applyAlignment="1" applyProtection="1">
      <alignment vertical="center"/>
    </xf>
    <xf numFmtId="0" fontId="7" fillId="12" borderId="0" xfId="0" applyFont="1" applyFill="1" applyBorder="1" applyAlignment="1" applyProtection="1">
      <alignment vertical="center" wrapText="1" shrinkToFit="1"/>
    </xf>
    <xf numFmtId="170" fontId="4" fillId="3" borderId="1" xfId="0" applyNumberFormat="1" applyFont="1" applyFill="1" applyBorder="1" applyAlignment="1" applyProtection="1">
      <alignment horizontal="right" vertical="center"/>
    </xf>
    <xf numFmtId="175" fontId="4" fillId="3" borderId="1" xfId="0" applyNumberFormat="1" applyFont="1" applyFill="1" applyBorder="1" applyAlignment="1" applyProtection="1">
      <alignment horizontal="right" vertical="center"/>
    </xf>
    <xf numFmtId="0" fontId="4" fillId="3" borderId="1" xfId="0" applyFont="1" applyFill="1" applyBorder="1" applyAlignment="1" applyProtection="1">
      <alignment horizontal="right" vertical="center"/>
    </xf>
    <xf numFmtId="3" fontId="4" fillId="3" borderId="1" xfId="40" applyNumberFormat="1" applyFont="1" applyFill="1" applyBorder="1" applyAlignment="1" applyProtection="1">
      <alignment vertical="center"/>
    </xf>
    <xf numFmtId="0" fontId="4" fillId="3" borderId="2" xfId="40" applyFont="1" applyFill="1" applyBorder="1" applyAlignment="1" applyProtection="1">
      <alignment horizontal="center" vertical="center"/>
    </xf>
    <xf numFmtId="0" fontId="4" fillId="3" borderId="3" xfId="40" applyFont="1" applyFill="1" applyBorder="1" applyAlignment="1" applyProtection="1">
      <alignment horizontal="center" vertical="center"/>
    </xf>
    <xf numFmtId="0" fontId="4" fillId="0" borderId="0" xfId="0" applyFont="1" applyFill="1" applyAlignment="1" applyProtection="1">
      <alignment vertical="center"/>
      <protection locked="0"/>
    </xf>
    <xf numFmtId="0" fontId="4" fillId="12" borderId="4" xfId="0" applyFont="1" applyFill="1" applyBorder="1" applyAlignment="1" applyProtection="1">
      <alignment vertical="center"/>
      <protection locked="0"/>
    </xf>
    <xf numFmtId="0" fontId="32" fillId="15" borderId="6" xfId="58" applyFont="1" applyFill="1" applyBorder="1" applyAlignment="1" applyProtection="1">
      <alignment vertical="center"/>
      <protection locked="0"/>
    </xf>
    <xf numFmtId="0" fontId="4" fillId="15" borderId="0" xfId="58" applyFont="1" applyFill="1" applyBorder="1" applyAlignment="1" applyProtection="1">
      <alignment vertical="center"/>
      <protection locked="0"/>
    </xf>
    <xf numFmtId="0" fontId="30" fillId="15" borderId="0" xfId="58" applyFont="1" applyFill="1" applyBorder="1" applyAlignment="1" applyProtection="1">
      <alignment vertical="center"/>
      <protection locked="0"/>
    </xf>
    <xf numFmtId="173" fontId="32" fillId="15" borderId="8" xfId="58" applyNumberFormat="1" applyFont="1" applyFill="1" applyBorder="1" applyAlignment="1" applyProtection="1">
      <alignment horizontal="center" vertical="center"/>
      <protection locked="0"/>
    </xf>
    <xf numFmtId="0" fontId="4" fillId="15" borderId="7" xfId="0" applyFont="1" applyFill="1" applyBorder="1" applyAlignment="1" applyProtection="1">
      <alignment vertical="center"/>
      <protection locked="0"/>
    </xf>
    <xf numFmtId="37" fontId="4" fillId="3" borderId="0" xfId="0" applyNumberFormat="1" applyFont="1" applyFill="1" applyAlignment="1" applyProtection="1">
      <alignment vertical="center"/>
      <protection locked="0"/>
    </xf>
    <xf numFmtId="0" fontId="4" fillId="3" borderId="16" xfId="15" applyNumberFormat="1" applyFont="1" applyFill="1" applyBorder="1" applyAlignment="1" applyProtection="1">
      <alignment horizontal="right" vertical="center"/>
    </xf>
    <xf numFmtId="0" fontId="4" fillId="12" borderId="0" xfId="0" applyFont="1" applyFill="1" applyBorder="1" applyAlignment="1" applyProtection="1">
      <alignment vertical="center"/>
    </xf>
    <xf numFmtId="173" fontId="30" fillId="14" borderId="1" xfId="0" applyNumberFormat="1" applyFont="1" applyFill="1" applyBorder="1" applyAlignment="1" applyProtection="1">
      <alignment horizontal="center" vertical="center"/>
      <protection locked="0"/>
    </xf>
    <xf numFmtId="0" fontId="30" fillId="12" borderId="0" xfId="0" applyFont="1" applyFill="1" applyBorder="1" applyAlignment="1" applyProtection="1">
      <alignment vertical="center"/>
    </xf>
    <xf numFmtId="0" fontId="30" fillId="12" borderId="6" xfId="0" applyFont="1" applyFill="1" applyBorder="1" applyAlignment="1" applyProtection="1">
      <alignment horizontal="left" vertical="center"/>
    </xf>
    <xf numFmtId="3" fontId="4" fillId="2" borderId="10" xfId="0" applyNumberFormat="1" applyFont="1" applyFill="1" applyBorder="1" applyAlignment="1" applyProtection="1">
      <alignment horizontal="right" vertical="center"/>
      <protection locked="0"/>
    </xf>
    <xf numFmtId="0" fontId="30" fillId="12" borderId="6" xfId="0" applyFont="1" applyFill="1" applyBorder="1" applyAlignment="1" applyProtection="1">
      <alignment vertical="center"/>
    </xf>
    <xf numFmtId="173" fontId="30" fillId="12" borderId="16" xfId="0" applyNumberFormat="1" applyFont="1" applyFill="1" applyBorder="1" applyAlignment="1" applyProtection="1">
      <alignment horizontal="center" vertical="center"/>
    </xf>
    <xf numFmtId="173" fontId="32" fillId="15" borderId="8" xfId="0" applyNumberFormat="1" applyFont="1" applyFill="1" applyBorder="1" applyAlignment="1" applyProtection="1">
      <alignment horizontal="center" vertical="center"/>
    </xf>
    <xf numFmtId="0" fontId="4" fillId="15" borderId="0" xfId="0" applyFont="1" applyFill="1" applyBorder="1" applyAlignment="1" applyProtection="1">
      <alignment vertical="center"/>
    </xf>
    <xf numFmtId="0" fontId="30" fillId="15" borderId="0" xfId="0" applyFont="1" applyFill="1" applyBorder="1" applyAlignment="1" applyProtection="1">
      <alignment vertical="center"/>
    </xf>
    <xf numFmtId="0" fontId="32" fillId="15" borderId="6" xfId="0" applyFont="1" applyFill="1" applyBorder="1" applyAlignment="1" applyProtection="1">
      <alignment vertical="center"/>
    </xf>
    <xf numFmtId="173" fontId="32" fillId="15" borderId="7" xfId="0" applyNumberFormat="1" applyFont="1" applyFill="1" applyBorder="1" applyAlignment="1" applyProtection="1">
      <alignment horizontal="center" vertical="center"/>
      <protection locked="0"/>
    </xf>
    <xf numFmtId="176" fontId="4" fillId="7" borderId="1" xfId="0" applyNumberFormat="1" applyFont="1" applyFill="1" applyBorder="1" applyAlignment="1" applyProtection="1">
      <alignment vertical="center"/>
      <protection locked="0"/>
    </xf>
    <xf numFmtId="37" fontId="30" fillId="3" borderId="12" xfId="0" applyNumberFormat="1" applyFont="1" applyFill="1" applyBorder="1" applyAlignment="1" applyProtection="1">
      <alignment horizontal="left" vertical="center"/>
    </xf>
    <xf numFmtId="0" fontId="39" fillId="12" borderId="4" xfId="0" applyFont="1" applyFill="1" applyBorder="1" applyAlignment="1">
      <alignment horizontal="left" vertical="center"/>
    </xf>
    <xf numFmtId="176" fontId="4" fillId="3" borderId="0" xfId="0" applyNumberFormat="1" applyFont="1" applyFill="1" applyAlignment="1" applyProtection="1">
      <alignment horizontal="center" vertical="center"/>
    </xf>
    <xf numFmtId="0" fontId="49" fillId="0" borderId="0" xfId="0" applyFont="1" applyAlignment="1" applyProtection="1">
      <alignment vertical="center"/>
      <protection locked="0"/>
    </xf>
    <xf numFmtId="3" fontId="4" fillId="2" borderId="10" xfId="0" applyNumberFormat="1" applyFont="1" applyFill="1" applyBorder="1" applyAlignment="1" applyProtection="1">
      <alignment vertical="center"/>
      <protection locked="0"/>
    </xf>
    <xf numFmtId="172" fontId="32" fillId="12" borderId="8" xfId="30" applyNumberFormat="1" applyFont="1" applyFill="1" applyBorder="1" applyAlignment="1" applyProtection="1">
      <alignment horizontal="center" vertical="center"/>
    </xf>
    <xf numFmtId="173" fontId="11" fillId="12" borderId="6" xfId="30" applyNumberFormat="1" applyFont="1" applyFill="1" applyBorder="1" applyAlignment="1" applyProtection="1">
      <alignment horizontal="center" vertical="center"/>
    </xf>
    <xf numFmtId="173" fontId="11" fillId="12" borderId="12" xfId="30" applyNumberFormat="1" applyFont="1" applyFill="1" applyBorder="1" applyAlignment="1" applyProtection="1">
      <alignment horizontal="center" vertical="center"/>
    </xf>
    <xf numFmtId="173" fontId="11" fillId="12" borderId="6" xfId="30" applyNumberFormat="1" applyFont="1" applyFill="1" applyBorder="1" applyAlignment="1" applyProtection="1">
      <alignment vertical="center"/>
    </xf>
    <xf numFmtId="173" fontId="11" fillId="15" borderId="12" xfId="30" applyNumberFormat="1" applyFont="1" applyFill="1" applyBorder="1" applyAlignment="1" applyProtection="1">
      <alignment horizontal="center" vertical="center"/>
    </xf>
    <xf numFmtId="0" fontId="11" fillId="15" borderId="4" xfId="30" applyFont="1" applyFill="1" applyBorder="1" applyAlignment="1" applyProtection="1">
      <alignment vertical="center"/>
    </xf>
    <xf numFmtId="0" fontId="4" fillId="12" borderId="0" xfId="40" applyFont="1" applyFill="1"/>
    <xf numFmtId="0" fontId="2" fillId="0" borderId="0" xfId="40"/>
    <xf numFmtId="0" fontId="4" fillId="12" borderId="0" xfId="40" applyFont="1" applyFill="1" applyAlignment="1">
      <alignment vertical="center"/>
    </xf>
    <xf numFmtId="37" fontId="4" fillId="12" borderId="0" xfId="40" applyNumberFormat="1" applyFont="1" applyFill="1" applyAlignment="1">
      <alignment vertical="center"/>
    </xf>
    <xf numFmtId="0" fontId="4" fillId="12" borderId="4" xfId="40" applyFont="1" applyFill="1" applyBorder="1" applyAlignment="1">
      <alignment vertical="center"/>
    </xf>
    <xf numFmtId="0" fontId="4" fillId="12" borderId="0" xfId="40" applyFont="1" applyFill="1" applyAlignment="1">
      <alignment horizontal="center" vertical="center"/>
    </xf>
    <xf numFmtId="0" fontId="5" fillId="12" borderId="0" xfId="40" applyFont="1" applyFill="1" applyAlignment="1">
      <alignment horizontal="center" vertical="center"/>
    </xf>
    <xf numFmtId="173" fontId="4" fillId="12" borderId="0" xfId="40" applyNumberFormat="1" applyFont="1" applyFill="1" applyAlignment="1">
      <alignment vertical="center"/>
    </xf>
    <xf numFmtId="173" fontId="4" fillId="12" borderId="9" xfId="40" applyNumberFormat="1" applyFont="1" applyFill="1" applyBorder="1" applyAlignment="1">
      <alignment vertical="center"/>
    </xf>
    <xf numFmtId="6" fontId="4" fillId="12" borderId="0" xfId="40" applyNumberFormat="1" applyFont="1" applyFill="1" applyBorder="1" applyAlignment="1">
      <alignment vertical="center"/>
    </xf>
    <xf numFmtId="173" fontId="4" fillId="12" borderId="0" xfId="40" applyNumberFormat="1" applyFont="1" applyFill="1" applyBorder="1" applyAlignment="1">
      <alignment vertical="center"/>
    </xf>
    <xf numFmtId="0" fontId="48" fillId="15" borderId="0" xfId="40" applyFont="1" applyFill="1" applyAlignment="1">
      <alignment vertical="center"/>
    </xf>
    <xf numFmtId="0" fontId="48" fillId="12" borderId="0" xfId="40" applyFont="1" applyFill="1" applyAlignment="1">
      <alignment horizontal="center" vertical="center"/>
    </xf>
    <xf numFmtId="0" fontId="48" fillId="15" borderId="0" xfId="40" applyFont="1" applyFill="1" applyAlignment="1">
      <alignment horizontal="center" vertical="center"/>
    </xf>
    <xf numFmtId="0" fontId="4" fillId="12" borderId="0" xfId="30" applyFont="1" applyFill="1"/>
    <xf numFmtId="0" fontId="2" fillId="12" borderId="0" xfId="40" applyFill="1"/>
    <xf numFmtId="0" fontId="3" fillId="12" borderId="0" xfId="30" applyFont="1" applyFill="1"/>
    <xf numFmtId="0" fontId="2" fillId="12" borderId="0" xfId="30" applyFill="1"/>
    <xf numFmtId="0" fontId="4" fillId="12" borderId="0" xfId="40" applyFont="1" applyFill="1" applyAlignment="1">
      <alignment horizontal="left" vertical="center"/>
    </xf>
    <xf numFmtId="0" fontId="4" fillId="12" borderId="0" xfId="40" applyFont="1" applyFill="1" applyAlignment="1">
      <alignment horizontal="right" vertical="center"/>
    </xf>
    <xf numFmtId="172" fontId="4" fillId="12" borderId="0" xfId="40" applyNumberFormat="1" applyFont="1" applyFill="1" applyAlignment="1">
      <alignment horizontal="center" vertical="center"/>
    </xf>
    <xf numFmtId="177" fontId="48" fillId="12" borderId="0" xfId="40" applyNumberFormat="1" applyFont="1" applyFill="1" applyAlignment="1">
      <alignment horizontal="center" vertical="center"/>
    </xf>
    <xf numFmtId="0" fontId="50" fillId="15" borderId="0" xfId="40" applyFont="1" applyFill="1" applyAlignment="1">
      <alignment horizontal="center" vertical="center"/>
    </xf>
    <xf numFmtId="0" fontId="8" fillId="0" borderId="0" xfId="15" applyAlignment="1" applyProtection="1"/>
    <xf numFmtId="173" fontId="36" fillId="12" borderId="0" xfId="0" applyNumberFormat="1" applyFont="1" applyFill="1" applyBorder="1" applyAlignment="1">
      <alignment horizontal="center"/>
    </xf>
    <xf numFmtId="174" fontId="36" fillId="12" borderId="0" xfId="0" applyNumberFormat="1" applyFont="1" applyFill="1" applyBorder="1" applyAlignment="1">
      <alignment horizontal="center"/>
    </xf>
    <xf numFmtId="0" fontId="36" fillId="12" borderId="0" xfId="0" applyFont="1" applyFill="1" applyBorder="1" applyAlignment="1">
      <alignment horizontal="center"/>
    </xf>
    <xf numFmtId="173" fontId="36" fillId="14" borderId="4" xfId="0" applyNumberFormat="1" applyFont="1" applyFill="1" applyBorder="1" applyAlignment="1" applyProtection="1">
      <alignment horizontal="center"/>
      <protection locked="0"/>
    </xf>
    <xf numFmtId="0" fontId="36" fillId="12" borderId="9" xfId="0" applyFont="1" applyFill="1" applyBorder="1" applyAlignment="1">
      <alignment horizontal="center"/>
    </xf>
    <xf numFmtId="0" fontId="44" fillId="12" borderId="0" xfId="0" applyFont="1" applyFill="1" applyAlignment="1">
      <alignment horizontal="center" wrapText="1"/>
    </xf>
    <xf numFmtId="0" fontId="36" fillId="12" borderId="0" xfId="0" applyFont="1" applyFill="1" applyBorder="1" applyAlignment="1"/>
    <xf numFmtId="0" fontId="36" fillId="12" borderId="24" xfId="0" applyFont="1" applyFill="1" applyBorder="1" applyAlignment="1"/>
    <xf numFmtId="0" fontId="44" fillId="12" borderId="0" xfId="0" applyFont="1" applyFill="1" applyAlignment="1">
      <alignment horizontal="center"/>
    </xf>
    <xf numFmtId="1" fontId="4" fillId="3" borderId="13" xfId="0" applyNumberFormat="1" applyFont="1" applyFill="1" applyBorder="1" applyAlignment="1" applyProtection="1">
      <alignment horizontal="center" vertical="center"/>
    </xf>
    <xf numFmtId="37" fontId="4" fillId="3" borderId="13" xfId="0" applyNumberFormat="1" applyFont="1" applyFill="1" applyBorder="1" applyAlignment="1" applyProtection="1">
      <alignment horizontal="center" vertical="center"/>
    </xf>
    <xf numFmtId="172" fontId="4" fillId="12" borderId="0" xfId="0" applyNumberFormat="1" applyFont="1" applyFill="1" applyBorder="1" applyAlignment="1" applyProtection="1">
      <alignment horizontal="right" vertical="center"/>
      <protection locked="0"/>
    </xf>
    <xf numFmtId="49" fontId="4" fillId="3" borderId="0" xfId="0" applyNumberFormat="1" applyFont="1" applyFill="1" applyAlignment="1" applyProtection="1">
      <alignment horizontal="center" vertical="center"/>
    </xf>
    <xf numFmtId="0" fontId="4" fillId="0" borderId="0" xfId="0" applyFont="1" applyProtection="1">
      <protection locked="0"/>
    </xf>
    <xf numFmtId="0" fontId="4" fillId="2" borderId="1" xfId="0" applyFont="1" applyFill="1" applyBorder="1" applyAlignment="1" applyProtection="1">
      <alignment vertical="center"/>
      <protection locked="0"/>
    </xf>
    <xf numFmtId="164" fontId="4" fillId="7" borderId="1" xfId="0" applyNumberFormat="1" applyFont="1" applyFill="1" applyBorder="1" applyAlignment="1" applyProtection="1">
      <alignment vertical="center"/>
      <protection locked="0"/>
    </xf>
    <xf numFmtId="0" fontId="4" fillId="3" borderId="16" xfId="0" applyFont="1" applyFill="1" applyBorder="1" applyAlignment="1" applyProtection="1">
      <alignment vertical="center"/>
    </xf>
    <xf numFmtId="0" fontId="26" fillId="0" borderId="0" xfId="479"/>
    <xf numFmtId="0" fontId="4" fillId="12" borderId="0" xfId="0" applyFont="1" applyFill="1" applyBorder="1" applyAlignment="1" applyProtection="1">
      <alignment vertical="center"/>
    </xf>
    <xf numFmtId="173" fontId="30" fillId="14" borderId="1" xfId="0" applyNumberFormat="1" applyFont="1" applyFill="1" applyBorder="1" applyAlignment="1" applyProtection="1">
      <alignment horizontal="center" vertical="center"/>
      <protection locked="0"/>
    </xf>
    <xf numFmtId="0" fontId="4" fillId="12" borderId="6" xfId="0" applyFont="1" applyFill="1" applyBorder="1" applyAlignment="1" applyProtection="1">
      <alignment vertical="center"/>
    </xf>
    <xf numFmtId="0" fontId="4" fillId="12" borderId="16" xfId="0" applyFont="1" applyFill="1" applyBorder="1" applyAlignment="1" applyProtection="1">
      <alignment vertical="center"/>
    </xf>
    <xf numFmtId="173" fontId="30" fillId="12" borderId="6" xfId="0" applyNumberFormat="1" applyFont="1" applyFill="1" applyBorder="1" applyAlignment="1" applyProtection="1">
      <alignment horizontal="center" vertical="center"/>
    </xf>
    <xf numFmtId="0" fontId="30" fillId="12" borderId="0" xfId="0" applyFont="1" applyFill="1" applyBorder="1" applyAlignment="1" applyProtection="1">
      <alignment horizontal="left" vertical="center"/>
    </xf>
    <xf numFmtId="0" fontId="30" fillId="12" borderId="16" xfId="0" applyFont="1" applyFill="1" applyBorder="1" applyAlignment="1" applyProtection="1">
      <alignment vertical="center"/>
    </xf>
    <xf numFmtId="0" fontId="30" fillId="12" borderId="0" xfId="0" applyFont="1" applyFill="1" applyBorder="1" applyAlignment="1" applyProtection="1">
      <alignment vertical="center"/>
    </xf>
    <xf numFmtId="173" fontId="30" fillId="12" borderId="12" xfId="0" applyNumberFormat="1" applyFont="1" applyFill="1" applyBorder="1" applyAlignment="1" applyProtection="1">
      <alignment horizontal="center" vertical="center"/>
    </xf>
    <xf numFmtId="173" fontId="30" fillId="12" borderId="6" xfId="0" applyNumberFormat="1" applyFont="1" applyFill="1" applyBorder="1" applyAlignment="1" applyProtection="1">
      <alignment vertical="center"/>
    </xf>
    <xf numFmtId="0" fontId="30" fillId="15" borderId="7" xfId="0" applyFont="1" applyFill="1" applyBorder="1" applyAlignment="1" applyProtection="1">
      <alignment vertical="center"/>
    </xf>
    <xf numFmtId="0" fontId="4" fillId="15" borderId="7" xfId="0" applyFont="1" applyFill="1" applyBorder="1" applyAlignment="1" applyProtection="1">
      <alignment vertical="center"/>
    </xf>
    <xf numFmtId="0" fontId="30" fillId="12" borderId="6" xfId="0" applyFont="1" applyFill="1" applyBorder="1" applyAlignment="1" applyProtection="1">
      <alignment horizontal="left" vertical="center"/>
    </xf>
    <xf numFmtId="0" fontId="30" fillId="12" borderId="6" xfId="0" applyFont="1" applyFill="1" applyBorder="1" applyAlignment="1" applyProtection="1">
      <alignment vertical="center"/>
    </xf>
    <xf numFmtId="173" fontId="30" fillId="12" borderId="16" xfId="0" applyNumberFormat="1" applyFont="1" applyFill="1" applyBorder="1" applyAlignment="1" applyProtection="1">
      <alignment horizontal="center" vertical="center"/>
    </xf>
    <xf numFmtId="173" fontId="11" fillId="12" borderId="6" xfId="0" applyNumberFormat="1" applyFont="1" applyFill="1" applyBorder="1" applyAlignment="1" applyProtection="1">
      <alignment horizontal="center" vertical="center"/>
    </xf>
    <xf numFmtId="0" fontId="11" fillId="12" borderId="0" xfId="0" applyFont="1" applyFill="1" applyBorder="1" applyAlignment="1" applyProtection="1">
      <alignment vertical="center"/>
    </xf>
    <xf numFmtId="173" fontId="11" fillId="12" borderId="12" xfId="0" applyNumberFormat="1" applyFont="1" applyFill="1" applyBorder="1" applyAlignment="1" applyProtection="1">
      <alignment horizontal="center" vertical="center"/>
    </xf>
    <xf numFmtId="173" fontId="11" fillId="12" borderId="6" xfId="0" applyNumberFormat="1" applyFont="1" applyFill="1" applyBorder="1" applyAlignment="1" applyProtection="1">
      <alignment vertical="center"/>
    </xf>
    <xf numFmtId="173" fontId="11" fillId="15" borderId="12" xfId="0" applyNumberFormat="1" applyFont="1" applyFill="1" applyBorder="1" applyAlignment="1" applyProtection="1">
      <alignment horizontal="center" vertical="center"/>
    </xf>
    <xf numFmtId="0" fontId="11" fillId="15" borderId="4" xfId="0" applyFont="1" applyFill="1" applyBorder="1" applyAlignment="1" applyProtection="1">
      <alignment vertical="center"/>
    </xf>
    <xf numFmtId="0" fontId="4" fillId="0" borderId="0" xfId="479" applyFont="1" applyAlignment="1">
      <alignment horizontal="left" vertical="center"/>
    </xf>
    <xf numFmtId="173" fontId="32" fillId="15" borderId="8" xfId="0" applyNumberFormat="1" applyFont="1" applyFill="1" applyBorder="1" applyAlignment="1" applyProtection="1">
      <alignment horizontal="center" vertical="center"/>
    </xf>
    <xf numFmtId="0" fontId="4" fillId="15" borderId="0" xfId="0" applyFont="1" applyFill="1" applyBorder="1" applyAlignment="1" applyProtection="1">
      <alignment vertical="center"/>
    </xf>
    <xf numFmtId="0" fontId="30" fillId="15" borderId="0" xfId="0" applyFont="1" applyFill="1" applyBorder="1" applyAlignment="1" applyProtection="1">
      <alignment vertical="center"/>
    </xf>
    <xf numFmtId="0" fontId="32" fillId="15" borderId="6" xfId="0" applyFont="1" applyFill="1" applyBorder="1" applyAlignment="1" applyProtection="1">
      <alignment vertical="center"/>
    </xf>
    <xf numFmtId="173" fontId="32" fillId="15" borderId="7" xfId="0" applyNumberFormat="1" applyFont="1" applyFill="1" applyBorder="1" applyAlignment="1" applyProtection="1">
      <alignment horizontal="center" vertical="center"/>
      <protection locked="0"/>
    </xf>
    <xf numFmtId="172" fontId="32" fillId="12" borderId="8" xfId="0" applyNumberFormat="1" applyFont="1" applyFill="1" applyBorder="1" applyAlignment="1" applyProtection="1">
      <alignment horizontal="center" vertical="center"/>
    </xf>
    <xf numFmtId="173" fontId="30" fillId="15" borderId="12" xfId="0" applyNumberFormat="1" applyFont="1" applyFill="1" applyBorder="1" applyAlignment="1" applyProtection="1">
      <alignment horizontal="center" vertical="center"/>
    </xf>
    <xf numFmtId="0" fontId="30" fillId="15" borderId="4" xfId="0" applyFont="1" applyFill="1" applyBorder="1" applyAlignment="1" applyProtection="1">
      <alignment vertical="center"/>
    </xf>
    <xf numFmtId="0" fontId="39" fillId="12" borderId="4" xfId="0" applyFont="1" applyFill="1" applyBorder="1" applyAlignment="1">
      <alignment horizontal="left" vertical="center"/>
    </xf>
    <xf numFmtId="0" fontId="49" fillId="0" borderId="0" xfId="0" applyFont="1" applyProtection="1">
      <protection locked="0"/>
    </xf>
    <xf numFmtId="0" fontId="4" fillId="12" borderId="16" xfId="0" applyFont="1" applyFill="1" applyBorder="1" applyProtection="1">
      <protection locked="0"/>
    </xf>
    <xf numFmtId="0" fontId="4" fillId="15" borderId="7" xfId="0" applyFont="1" applyFill="1" applyBorder="1" applyProtection="1">
      <protection locked="0"/>
    </xf>
    <xf numFmtId="0" fontId="4" fillId="12" borderId="16" xfId="0" applyFont="1" applyFill="1" applyBorder="1" applyAlignment="1" applyProtection="1">
      <alignment vertical="center"/>
      <protection locked="0"/>
    </xf>
    <xf numFmtId="0" fontId="30" fillId="3" borderId="16" xfId="15" applyNumberFormat="1" applyFont="1" applyFill="1" applyBorder="1" applyAlignment="1" applyProtection="1">
      <alignment horizontal="center" vertical="center"/>
    </xf>
    <xf numFmtId="0" fontId="4" fillId="0" borderId="0" xfId="101" applyFont="1" applyAlignment="1">
      <alignment vertical="center"/>
    </xf>
    <xf numFmtId="176" fontId="4" fillId="7" borderId="1" xfId="40" applyNumberFormat="1" applyFont="1" applyFill="1" applyBorder="1" applyAlignment="1" applyProtection="1">
      <alignment vertical="center"/>
      <protection locked="0"/>
    </xf>
    <xf numFmtId="0" fontId="40" fillId="0" borderId="0" xfId="0" applyFont="1" applyAlignment="1" applyProtection="1">
      <alignment vertical="center"/>
    </xf>
    <xf numFmtId="0" fontId="2" fillId="18" borderId="0" xfId="40" applyFill="1"/>
    <xf numFmtId="0" fontId="2" fillId="18" borderId="0" xfId="30" applyFill="1"/>
    <xf numFmtId="0" fontId="8" fillId="18" borderId="0" xfId="15" applyFill="1" applyAlignment="1" applyProtection="1"/>
    <xf numFmtId="0" fontId="4" fillId="0" borderId="0" xfId="0" applyFont="1" applyAlignment="1">
      <alignment wrapText="1"/>
    </xf>
    <xf numFmtId="3" fontId="4" fillId="3" borderId="0" xfId="0" applyNumberFormat="1" applyFont="1" applyFill="1" applyAlignment="1" applyProtection="1">
      <alignment horizontal="right" vertical="center"/>
    </xf>
    <xf numFmtId="3" fontId="4" fillId="12" borderId="9" xfId="0" applyNumberFormat="1" applyFont="1" applyFill="1" applyBorder="1" applyAlignment="1">
      <alignment horizontal="right" vertical="center"/>
    </xf>
    <xf numFmtId="37" fontId="12" fillId="3" borderId="0" xfId="0" applyNumberFormat="1" applyFont="1" applyFill="1" applyBorder="1" applyAlignment="1" applyProtection="1">
      <alignment horizontal="center" vertical="center"/>
    </xf>
    <xf numFmtId="37" fontId="12" fillId="3" borderId="9" xfId="0" applyNumberFormat="1" applyFont="1" applyFill="1" applyBorder="1" applyAlignment="1" applyProtection="1">
      <alignment horizontal="center" vertical="center"/>
    </xf>
    <xf numFmtId="0" fontId="4" fillId="0" borderId="0" xfId="30" applyFont="1" applyAlignment="1">
      <alignment horizontal="left" vertical="center"/>
    </xf>
    <xf numFmtId="0" fontId="4" fillId="0" borderId="0" xfId="28" applyFont="1" applyAlignment="1">
      <alignment vertical="top" wrapText="1"/>
    </xf>
    <xf numFmtId="0" fontId="4" fillId="0" borderId="0" xfId="30" applyFont="1" applyAlignment="1">
      <alignment vertical="center"/>
    </xf>
    <xf numFmtId="174" fontId="36" fillId="12" borderId="0" xfId="0" applyNumberFormat="1" applyFont="1" applyFill="1" applyBorder="1" applyAlignment="1">
      <alignment horizontal="center"/>
    </xf>
    <xf numFmtId="37"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174" fontId="36" fillId="12" borderId="0" xfId="0" applyNumberFormat="1" applyFont="1" applyFill="1" applyAlignment="1">
      <alignment horizontal="center"/>
    </xf>
    <xf numFmtId="174" fontId="36" fillId="12" borderId="4" xfId="0" applyNumberFormat="1" applyFont="1" applyFill="1" applyBorder="1" applyAlignment="1">
      <alignment horizontal="center"/>
    </xf>
    <xf numFmtId="174" fontId="36" fillId="12" borderId="0" xfId="0" applyNumberFormat="1" applyFont="1" applyFill="1"/>
    <xf numFmtId="0" fontId="4" fillId="11" borderId="7" xfId="0" applyFont="1" applyFill="1" applyBorder="1" applyAlignment="1" applyProtection="1">
      <alignment vertical="center"/>
    </xf>
    <xf numFmtId="37" fontId="4" fillId="3" borderId="3" xfId="0" applyNumberFormat="1" applyFont="1" applyFill="1" applyBorder="1" applyAlignment="1" applyProtection="1">
      <alignment vertical="center"/>
    </xf>
    <xf numFmtId="37" fontId="3" fillId="6" borderId="10" xfId="0" applyNumberFormat="1" applyFont="1" applyFill="1" applyBorder="1" applyAlignment="1" applyProtection="1">
      <alignment horizontal="left" vertical="center"/>
    </xf>
    <xf numFmtId="0" fontId="4" fillId="6" borderId="8" xfId="0" applyFont="1" applyFill="1" applyBorder="1" applyAlignment="1" applyProtection="1">
      <alignment vertical="center"/>
    </xf>
    <xf numFmtId="37" fontId="4" fillId="6" borderId="2" xfId="0" applyNumberFormat="1" applyFont="1" applyFill="1" applyBorder="1" applyAlignment="1" applyProtection="1">
      <alignment horizontal="center" vertical="center"/>
    </xf>
    <xf numFmtId="0" fontId="4" fillId="6" borderId="3" xfId="0" applyFont="1" applyFill="1" applyBorder="1" applyAlignment="1">
      <alignment horizontal="center" vertical="center"/>
    </xf>
    <xf numFmtId="37" fontId="4" fillId="6" borderId="10" xfId="0" applyNumberFormat="1" applyFont="1" applyFill="1" applyBorder="1" applyAlignment="1" applyProtection="1">
      <alignment horizontal="left" vertical="center"/>
    </xf>
    <xf numFmtId="37" fontId="4" fillId="6" borderId="12" xfId="0" applyNumberFormat="1" applyFont="1" applyFill="1" applyBorder="1" applyAlignment="1" applyProtection="1">
      <alignment horizontal="left" vertical="center"/>
    </xf>
    <xf numFmtId="0" fontId="4" fillId="6" borderId="13" xfId="0" applyFont="1" applyFill="1" applyBorder="1" applyAlignment="1" applyProtection="1">
      <alignment vertical="center"/>
    </xf>
    <xf numFmtId="0" fontId="4" fillId="6" borderId="12" xfId="0" applyFont="1" applyFill="1" applyBorder="1" applyAlignment="1" applyProtection="1">
      <alignment vertical="center"/>
    </xf>
    <xf numFmtId="0" fontId="4" fillId="6" borderId="7" xfId="0" applyFont="1" applyFill="1" applyBorder="1" applyAlignment="1" applyProtection="1">
      <alignment vertical="center"/>
    </xf>
    <xf numFmtId="0" fontId="4" fillId="6" borderId="10" xfId="0" applyFont="1" applyFill="1" applyBorder="1" applyAlignment="1" applyProtection="1">
      <alignment vertical="center"/>
    </xf>
    <xf numFmtId="37" fontId="3" fillId="11" borderId="10" xfId="0" applyNumberFormat="1" applyFont="1" applyFill="1" applyBorder="1" applyAlignment="1" applyProtection="1">
      <alignment horizontal="left" vertical="center"/>
    </xf>
    <xf numFmtId="0" fontId="4" fillId="11" borderId="5" xfId="0" applyFont="1" applyFill="1" applyBorder="1" applyAlignment="1" applyProtection="1">
      <alignment vertical="center"/>
    </xf>
    <xf numFmtId="0" fontId="4" fillId="11" borderId="8" xfId="0" applyFont="1" applyFill="1" applyBorder="1" applyAlignment="1" applyProtection="1">
      <alignment vertical="center"/>
    </xf>
    <xf numFmtId="170" fontId="4" fillId="2" borderId="1" xfId="0" applyNumberFormat="1" applyFont="1" applyFill="1" applyBorder="1" applyAlignment="1" applyProtection="1">
      <alignment vertical="center"/>
      <protection locked="0"/>
    </xf>
    <xf numFmtId="170" fontId="4" fillId="2" borderId="2" xfId="0" applyNumberFormat="1" applyFont="1" applyFill="1" applyBorder="1" applyAlignment="1" applyProtection="1">
      <alignment vertical="center"/>
      <protection locked="0"/>
    </xf>
    <xf numFmtId="3" fontId="4" fillId="2" borderId="3" xfId="0" applyNumberFormat="1" applyFont="1" applyFill="1" applyBorder="1" applyAlignment="1" applyProtection="1">
      <alignment vertical="center"/>
      <protection locked="0"/>
    </xf>
    <xf numFmtId="0" fontId="3" fillId="6" borderId="10" xfId="0" applyFont="1" applyFill="1" applyBorder="1" applyAlignment="1">
      <alignment vertical="center"/>
    </xf>
    <xf numFmtId="0" fontId="1" fillId="6" borderId="5" xfId="0" applyFont="1" applyFill="1" applyBorder="1" applyAlignment="1">
      <alignment vertical="center"/>
    </xf>
    <xf numFmtId="0" fontId="0" fillId="6" borderId="5" xfId="0" applyFill="1" applyBorder="1" applyAlignment="1" applyProtection="1">
      <alignment vertical="center"/>
      <protection locked="0"/>
    </xf>
    <xf numFmtId="0" fontId="0" fillId="6" borderId="8" xfId="0" applyFill="1" applyBorder="1" applyAlignment="1" applyProtection="1">
      <alignment vertical="center"/>
      <protection locked="0"/>
    </xf>
    <xf numFmtId="174" fontId="4" fillId="15" borderId="7" xfId="59" applyNumberFormat="1" applyFont="1" applyFill="1" applyBorder="1" applyAlignment="1" applyProtection="1">
      <alignment horizontal="center"/>
    </xf>
    <xf numFmtId="37" fontId="3" fillId="3" borderId="0" xfId="30" applyNumberFormat="1" applyFont="1" applyFill="1" applyAlignment="1" applyProtection="1">
      <alignment horizontal="left" vertical="center"/>
    </xf>
    <xf numFmtId="37" fontId="4" fillId="3" borderId="0" xfId="30" applyNumberFormat="1" applyFont="1" applyFill="1" applyAlignment="1" applyProtection="1">
      <alignment horizontal="left" vertical="center"/>
    </xf>
    <xf numFmtId="37" fontId="3" fillId="11" borderId="12" xfId="0" applyNumberFormat="1" applyFont="1" applyFill="1" applyBorder="1" applyAlignment="1" applyProtection="1">
      <alignment horizontal="left" vertical="center"/>
    </xf>
    <xf numFmtId="0" fontId="4" fillId="11" borderId="16" xfId="0" applyFont="1" applyFill="1" applyBorder="1" applyAlignment="1" applyProtection="1">
      <alignment vertical="center"/>
    </xf>
    <xf numFmtId="37" fontId="3" fillId="11" borderId="6" xfId="0" applyNumberFormat="1" applyFont="1" applyFill="1" applyBorder="1" applyAlignment="1" applyProtection="1">
      <alignment horizontal="left" vertical="center"/>
    </xf>
    <xf numFmtId="0" fontId="4" fillId="6" borderId="14" xfId="0" applyFont="1" applyFill="1" applyBorder="1" applyAlignment="1" applyProtection="1">
      <alignment vertical="center"/>
    </xf>
    <xf numFmtId="0" fontId="3" fillId="6" borderId="13" xfId="0" applyFont="1" applyFill="1" applyBorder="1" applyAlignment="1" applyProtection="1">
      <alignment vertical="center"/>
    </xf>
    <xf numFmtId="3" fontId="4" fillId="6" borderId="8" xfId="0" applyNumberFormat="1" applyFont="1" applyFill="1" applyBorder="1" applyAlignment="1" applyProtection="1">
      <alignment vertical="center"/>
    </xf>
    <xf numFmtId="0" fontId="4" fillId="12" borderId="0" xfId="30" applyFont="1" applyFill="1" applyAlignment="1" applyProtection="1">
      <alignment vertical="center"/>
    </xf>
    <xf numFmtId="37" fontId="4" fillId="3" borderId="9" xfId="0" applyNumberFormat="1" applyFont="1" applyFill="1" applyBorder="1" applyAlignment="1" applyProtection="1">
      <alignment horizontal="center" vertical="center"/>
    </xf>
    <xf numFmtId="165" fontId="4" fillId="12" borderId="4" xfId="0" applyNumberFormat="1" applyFont="1" applyFill="1" applyBorder="1" applyAlignment="1" applyProtection="1">
      <alignment vertical="center"/>
    </xf>
    <xf numFmtId="165" fontId="4" fillId="12" borderId="0" xfId="0" applyNumberFormat="1" applyFont="1" applyFill="1" applyBorder="1" applyAlignment="1" applyProtection="1">
      <alignment vertical="center"/>
    </xf>
    <xf numFmtId="0" fontId="4" fillId="12" borderId="0" xfId="30" applyFont="1" applyFill="1" applyAlignment="1" applyProtection="1">
      <alignment vertical="center"/>
      <protection locked="0"/>
    </xf>
    <xf numFmtId="0" fontId="4" fillId="12" borderId="0" xfId="0" applyFont="1" applyFill="1" applyBorder="1" applyAlignment="1" applyProtection="1">
      <alignment vertical="center"/>
    </xf>
    <xf numFmtId="0" fontId="4" fillId="12" borderId="0" xfId="0" applyFont="1" applyFill="1" applyAlignment="1" applyProtection="1">
      <alignment vertical="center"/>
    </xf>
    <xf numFmtId="37" fontId="4" fillId="12" borderId="0" xfId="0" applyNumberFormat="1" applyFont="1" applyFill="1" applyBorder="1" applyAlignment="1" applyProtection="1">
      <alignment horizontal="left" vertical="center"/>
    </xf>
    <xf numFmtId="37" fontId="4" fillId="12" borderId="0" xfId="0" applyNumberFormat="1" applyFont="1" applyFill="1" applyBorder="1" applyAlignment="1" applyProtection="1">
      <alignment vertical="center"/>
    </xf>
    <xf numFmtId="37" fontId="4" fillId="12" borderId="0" xfId="0" applyNumberFormat="1" applyFont="1" applyFill="1" applyAlignment="1" applyProtection="1">
      <alignment horizontal="left" vertical="center"/>
    </xf>
    <xf numFmtId="37" fontId="4" fillId="3" borderId="3" xfId="30" applyNumberFormat="1" applyFont="1" applyFill="1" applyBorder="1" applyAlignment="1" applyProtection="1">
      <alignment horizontal="center" vertical="center"/>
    </xf>
    <xf numFmtId="0" fontId="4" fillId="3" borderId="10" xfId="0" applyNumberFormat="1" applyFont="1" applyFill="1" applyBorder="1" applyAlignment="1" applyProtection="1">
      <alignment horizontal="left" vertical="center"/>
    </xf>
    <xf numFmtId="0" fontId="5" fillId="0" borderId="0" xfId="0" applyFont="1"/>
    <xf numFmtId="0" fontId="30" fillId="12" borderId="0" xfId="0" applyFont="1" applyFill="1" applyBorder="1" applyAlignment="1" applyProtection="1">
      <alignment horizontal="left" vertical="center"/>
    </xf>
    <xf numFmtId="37" fontId="4" fillId="3" borderId="16" xfId="0" applyNumberFormat="1" applyFont="1" applyFill="1" applyBorder="1" applyAlignment="1" applyProtection="1">
      <alignment horizontal="right" vertical="center"/>
    </xf>
    <xf numFmtId="0" fontId="4" fillId="12" borderId="10" xfId="30" applyFont="1" applyFill="1" applyBorder="1" applyAlignment="1" applyProtection="1">
      <alignment vertical="center"/>
    </xf>
    <xf numFmtId="0" fontId="4" fillId="12" borderId="6" xfId="30" applyFont="1" applyFill="1" applyBorder="1" applyAlignment="1" applyProtection="1">
      <alignment vertical="center"/>
    </xf>
    <xf numFmtId="0" fontId="4" fillId="12" borderId="0" xfId="30" applyFont="1" applyFill="1" applyBorder="1" applyAlignment="1" applyProtection="1">
      <alignment vertical="center"/>
    </xf>
    <xf numFmtId="0" fontId="4" fillId="12" borderId="16" xfId="30" applyFont="1" applyFill="1" applyBorder="1" applyAlignment="1" applyProtection="1">
      <alignment vertical="center"/>
    </xf>
    <xf numFmtId="173" fontId="30" fillId="12" borderId="6" xfId="30" applyNumberFormat="1" applyFont="1" applyFill="1" applyBorder="1" applyAlignment="1" applyProtection="1">
      <alignment horizontal="center" vertical="center"/>
    </xf>
    <xf numFmtId="0" fontId="11" fillId="12" borderId="0" xfId="30" applyFont="1" applyFill="1" applyBorder="1" applyAlignment="1" applyProtection="1">
      <alignment vertical="center"/>
    </xf>
    <xf numFmtId="173" fontId="30" fillId="12" borderId="12" xfId="30" applyNumberFormat="1" applyFont="1" applyFill="1" applyBorder="1" applyAlignment="1" applyProtection="1">
      <alignment horizontal="center" vertical="center"/>
    </xf>
    <xf numFmtId="0" fontId="4" fillId="15" borderId="7" xfId="30" applyFont="1" applyFill="1" applyBorder="1" applyAlignment="1" applyProtection="1">
      <alignment vertical="center"/>
    </xf>
    <xf numFmtId="0" fontId="30" fillId="12" borderId="0" xfId="30" applyFont="1" applyFill="1" applyBorder="1" applyAlignment="1" applyProtection="1">
      <alignment horizontal="left" vertical="center"/>
    </xf>
    <xf numFmtId="0" fontId="30" fillId="12" borderId="0" xfId="30" applyFont="1" applyFill="1" applyBorder="1" applyAlignment="1" applyProtection="1">
      <alignment vertical="center"/>
    </xf>
    <xf numFmtId="0" fontId="30" fillId="12" borderId="6" xfId="30" applyFont="1" applyFill="1" applyBorder="1" applyAlignment="1" applyProtection="1">
      <alignment vertical="center"/>
    </xf>
    <xf numFmtId="173" fontId="30" fillId="12" borderId="16" xfId="30" applyNumberFormat="1" applyFont="1" applyFill="1" applyBorder="1" applyAlignment="1" applyProtection="1">
      <alignment horizontal="center" vertical="center"/>
    </xf>
    <xf numFmtId="0" fontId="30" fillId="12" borderId="6" xfId="30" applyFont="1" applyFill="1" applyBorder="1" applyAlignment="1" applyProtection="1">
      <alignment horizontal="left" vertical="center"/>
    </xf>
    <xf numFmtId="173" fontId="30" fillId="14" borderId="1" xfId="30" applyNumberFormat="1" applyFont="1" applyFill="1" applyBorder="1" applyAlignment="1" applyProtection="1">
      <alignment horizontal="center" vertical="center"/>
      <protection locked="0"/>
    </xf>
    <xf numFmtId="0" fontId="30" fillId="15" borderId="0" xfId="30" applyFont="1" applyFill="1" applyBorder="1" applyAlignment="1" applyProtection="1">
      <alignment vertical="center"/>
    </xf>
    <xf numFmtId="0" fontId="4" fillId="15" borderId="0" xfId="30" applyFont="1" applyFill="1" applyBorder="1" applyAlignment="1" applyProtection="1">
      <alignment vertical="center"/>
    </xf>
    <xf numFmtId="172" fontId="32" fillId="12" borderId="8" xfId="30" applyNumberFormat="1" applyFont="1" applyFill="1" applyBorder="1" applyAlignment="1" applyProtection="1">
      <alignment horizontal="center" vertical="center"/>
    </xf>
    <xf numFmtId="0" fontId="30" fillId="12" borderId="16" xfId="30" applyFont="1" applyFill="1" applyBorder="1" applyAlignment="1" applyProtection="1">
      <alignment vertical="center"/>
    </xf>
    <xf numFmtId="173" fontId="32" fillId="15" borderId="7" xfId="30" applyNumberFormat="1" applyFont="1" applyFill="1" applyBorder="1" applyAlignment="1" applyProtection="1">
      <alignment horizontal="center" vertical="center"/>
      <protection locked="0"/>
    </xf>
    <xf numFmtId="0" fontId="39" fillId="12" borderId="4" xfId="30" applyFont="1" applyFill="1" applyBorder="1" applyAlignment="1">
      <alignment horizontal="left" vertical="center"/>
    </xf>
    <xf numFmtId="173" fontId="32" fillId="15" borderId="8" xfId="30" applyNumberFormat="1" applyFont="1" applyFill="1" applyBorder="1" applyAlignment="1" applyProtection="1">
      <alignment horizontal="center" vertical="center"/>
    </xf>
    <xf numFmtId="0" fontId="32" fillId="15" borderId="6" xfId="30" applyFont="1" applyFill="1" applyBorder="1" applyAlignment="1" applyProtection="1">
      <alignment vertical="center"/>
    </xf>
    <xf numFmtId="37" fontId="30" fillId="3" borderId="12" xfId="30" applyNumberFormat="1" applyFont="1" applyFill="1" applyBorder="1" applyAlignment="1" applyProtection="1">
      <alignment horizontal="left" vertical="center"/>
    </xf>
    <xf numFmtId="3" fontId="4" fillId="8" borderId="1" xfId="0" applyNumberFormat="1" applyFont="1" applyFill="1" applyBorder="1" applyAlignment="1" applyProtection="1">
      <alignment horizontal="right" vertical="center"/>
    </xf>
    <xf numFmtId="0" fontId="4" fillId="0" borderId="0" xfId="30" applyFont="1"/>
    <xf numFmtId="0" fontId="5" fillId="0" borderId="0" xfId="30" applyFont="1"/>
    <xf numFmtId="0" fontId="4" fillId="12" borderId="9" xfId="0" applyFont="1" applyFill="1" applyBorder="1" applyAlignment="1" applyProtection="1">
      <alignment vertical="center"/>
    </xf>
    <xf numFmtId="37" fontId="4" fillId="12" borderId="9" xfId="0" applyNumberFormat="1" applyFont="1" applyFill="1" applyBorder="1" applyAlignment="1" applyProtection="1">
      <alignment vertical="center"/>
    </xf>
    <xf numFmtId="0" fontId="0" fillId="12" borderId="9" xfId="0" applyFill="1" applyBorder="1" applyAlignment="1" applyProtection="1">
      <alignment vertical="center"/>
    </xf>
    <xf numFmtId="0" fontId="14" fillId="12" borderId="9" xfId="0" applyFont="1" applyFill="1" applyBorder="1" applyAlignment="1" applyProtection="1">
      <alignment horizontal="center" vertical="center"/>
    </xf>
    <xf numFmtId="37" fontId="4" fillId="12" borderId="14" xfId="0" applyNumberFormat="1" applyFont="1" applyFill="1" applyBorder="1" applyAlignment="1" applyProtection="1">
      <alignment horizontal="left" vertical="center"/>
    </xf>
    <xf numFmtId="37" fontId="4" fillId="12" borderId="6" xfId="0" applyNumberFormat="1" applyFont="1" applyFill="1" applyBorder="1" applyAlignment="1" applyProtection="1">
      <alignment horizontal="left" vertical="center"/>
    </xf>
    <xf numFmtId="37" fontId="4" fillId="12" borderId="16" xfId="0" applyNumberFormat="1" applyFont="1" applyFill="1" applyBorder="1" applyAlignment="1" applyProtection="1">
      <alignment horizontal="left" vertical="center"/>
    </xf>
    <xf numFmtId="37" fontId="4" fillId="12" borderId="12" xfId="0" applyNumberFormat="1" applyFont="1" applyFill="1" applyBorder="1" applyAlignment="1" applyProtection="1">
      <alignment horizontal="left" vertical="center"/>
    </xf>
    <xf numFmtId="0" fontId="4" fillId="12" borderId="4" xfId="0" applyFont="1" applyFill="1" applyBorder="1" applyAlignment="1" applyProtection="1">
      <alignment vertical="center"/>
    </xf>
    <xf numFmtId="37" fontId="4" fillId="12" borderId="4" xfId="0" applyNumberFormat="1" applyFont="1" applyFill="1" applyBorder="1" applyAlignment="1" applyProtection="1">
      <alignment vertical="center"/>
    </xf>
    <xf numFmtId="0" fontId="0" fillId="12" borderId="4" xfId="0" applyFill="1" applyBorder="1" applyAlignment="1" applyProtection="1">
      <alignment vertical="center"/>
    </xf>
    <xf numFmtId="0" fontId="14" fillId="12" borderId="4" xfId="0" applyFont="1" applyFill="1" applyBorder="1" applyAlignment="1" applyProtection="1">
      <alignment horizontal="center" vertical="center"/>
    </xf>
    <xf numFmtId="37" fontId="4" fillId="12" borderId="7" xfId="0" applyNumberFormat="1" applyFont="1" applyFill="1" applyBorder="1" applyAlignment="1" applyProtection="1">
      <alignment horizontal="left" vertical="center"/>
    </xf>
    <xf numFmtId="172" fontId="4" fillId="12" borderId="14" xfId="0" applyNumberFormat="1" applyFont="1" applyFill="1" applyBorder="1" applyAlignment="1" applyProtection="1">
      <alignment horizontal="right" vertical="center"/>
      <protection locked="0"/>
    </xf>
    <xf numFmtId="172" fontId="4" fillId="12" borderId="16" xfId="0" applyNumberFormat="1" applyFont="1" applyFill="1" applyBorder="1" applyAlignment="1" applyProtection="1">
      <alignment horizontal="right" vertical="center"/>
      <protection locked="0"/>
    </xf>
    <xf numFmtId="0" fontId="4" fillId="3" borderId="4" xfId="0" applyNumberFormat="1" applyFont="1" applyFill="1" applyBorder="1" applyAlignment="1" applyProtection="1">
      <alignment horizontal="right" vertical="center"/>
    </xf>
    <xf numFmtId="172" fontId="4" fillId="12" borderId="7" xfId="0" applyNumberFormat="1" applyFont="1" applyFill="1" applyBorder="1" applyAlignment="1" applyProtection="1">
      <alignment horizontal="right" vertical="center"/>
      <protection locked="0"/>
    </xf>
    <xf numFmtId="0" fontId="4" fillId="3" borderId="9" xfId="15" applyNumberFormat="1" applyFont="1" applyFill="1" applyBorder="1" applyAlignment="1" applyProtection="1">
      <alignment horizontal="right" vertical="center"/>
    </xf>
    <xf numFmtId="0" fontId="4" fillId="3" borderId="14" xfId="0" applyFont="1" applyFill="1" applyBorder="1" applyAlignment="1" applyProtection="1">
      <alignment vertical="center"/>
    </xf>
    <xf numFmtId="0" fontId="4" fillId="3" borderId="4" xfId="15" applyNumberFormat="1" applyFont="1" applyFill="1" applyBorder="1" applyAlignment="1" applyProtection="1">
      <alignment horizontal="right" vertical="center"/>
    </xf>
    <xf numFmtId="37" fontId="4" fillId="3" borderId="14" xfId="0" applyNumberFormat="1" applyFont="1" applyFill="1" applyBorder="1" applyAlignment="1" applyProtection="1">
      <alignment horizontal="right" vertical="center"/>
    </xf>
    <xf numFmtId="37" fontId="4" fillId="3" borderId="6" xfId="0" applyNumberFormat="1" applyFont="1" applyFill="1" applyBorder="1" applyAlignment="1" applyProtection="1">
      <alignment horizontal="right" vertical="center"/>
    </xf>
    <xf numFmtId="37" fontId="4" fillId="3" borderId="12" xfId="0" applyNumberFormat="1" applyFont="1" applyFill="1" applyBorder="1" applyAlignment="1" applyProtection="1">
      <alignment horizontal="right" vertical="center"/>
    </xf>
    <xf numFmtId="37" fontId="4" fillId="3" borderId="4" xfId="0" applyNumberFormat="1" applyFont="1" applyFill="1" applyBorder="1" applyAlignment="1" applyProtection="1">
      <alignment horizontal="right" vertical="center"/>
    </xf>
    <xf numFmtId="37" fontId="4" fillId="3" borderId="7" xfId="0" applyNumberFormat="1" applyFont="1" applyFill="1" applyBorder="1" applyAlignment="1" applyProtection="1">
      <alignment horizontal="right" vertical="center"/>
    </xf>
    <xf numFmtId="0" fontId="12" fillId="3" borderId="9" xfId="0" applyFont="1" applyFill="1" applyBorder="1" applyAlignment="1" applyProtection="1">
      <alignment horizontal="center" vertical="center"/>
    </xf>
    <xf numFmtId="37" fontId="12" fillId="3" borderId="14" xfId="0" applyNumberFormat="1" applyFont="1" applyFill="1" applyBorder="1" applyAlignment="1" applyProtection="1">
      <alignment horizontal="center" vertical="center"/>
    </xf>
    <xf numFmtId="0" fontId="4" fillId="3" borderId="6" xfId="0" applyFont="1" applyFill="1" applyBorder="1" applyAlignment="1" applyProtection="1">
      <alignment horizontal="right" vertical="center"/>
    </xf>
    <xf numFmtId="0" fontId="12" fillId="3" borderId="0" xfId="0" applyFont="1" applyFill="1" applyBorder="1" applyAlignment="1" applyProtection="1">
      <alignment horizontal="center" vertical="center"/>
    </xf>
    <xf numFmtId="0" fontId="4" fillId="3" borderId="12" xfId="0" applyFont="1" applyFill="1" applyBorder="1" applyAlignment="1" applyProtection="1">
      <alignment horizontal="right" vertical="center"/>
    </xf>
    <xf numFmtId="0" fontId="12" fillId="3" borderId="4" xfId="0" applyFont="1" applyFill="1" applyBorder="1" applyAlignment="1" applyProtection="1">
      <alignment horizontal="center" vertical="center"/>
    </xf>
    <xf numFmtId="3" fontId="4" fillId="3" borderId="14" xfId="0" applyNumberFormat="1" applyFont="1" applyFill="1" applyBorder="1" applyAlignment="1" applyProtection="1">
      <alignment vertical="center"/>
    </xf>
    <xf numFmtId="3" fontId="4" fillId="3" borderId="16" xfId="0" applyNumberFormat="1" applyFont="1" applyFill="1" applyBorder="1" applyAlignment="1" applyProtection="1">
      <alignment vertical="center"/>
    </xf>
    <xf numFmtId="37" fontId="4" fillId="3" borderId="14" xfId="0" applyNumberFormat="1" applyFont="1" applyFill="1" applyBorder="1" applyAlignment="1" applyProtection="1">
      <alignment vertical="center"/>
    </xf>
    <xf numFmtId="37" fontId="4" fillId="3" borderId="16" xfId="0" applyNumberFormat="1" applyFont="1" applyFill="1" applyBorder="1" applyAlignment="1" applyProtection="1">
      <alignment vertical="center"/>
    </xf>
    <xf numFmtId="37" fontId="4" fillId="3" borderId="7" xfId="0" applyNumberFormat="1" applyFont="1" applyFill="1" applyBorder="1" applyAlignment="1" applyProtection="1">
      <alignment vertical="center"/>
    </xf>
    <xf numFmtId="0" fontId="0" fillId="3" borderId="16" xfId="0" applyFill="1" applyBorder="1" applyAlignment="1">
      <alignment vertical="center"/>
    </xf>
    <xf numFmtId="3" fontId="4" fillId="3" borderId="9" xfId="0" applyNumberFormat="1" applyFont="1" applyFill="1" applyBorder="1" applyAlignment="1">
      <alignment vertical="center"/>
    </xf>
    <xf numFmtId="0" fontId="4" fillId="3" borderId="9" xfId="0" applyFont="1" applyFill="1" applyBorder="1" applyAlignment="1">
      <alignment vertical="center"/>
    </xf>
    <xf numFmtId="0" fontId="4" fillId="3" borderId="9" xfId="0" applyFont="1" applyFill="1" applyBorder="1" applyAlignment="1">
      <alignment horizontal="center" vertical="center"/>
    </xf>
    <xf numFmtId="0" fontId="4" fillId="3" borderId="14" xfId="0" applyFont="1" applyFill="1" applyBorder="1" applyAlignment="1">
      <alignment vertical="center"/>
    </xf>
    <xf numFmtId="0" fontId="4" fillId="3" borderId="6" xfId="0" applyFont="1" applyFill="1" applyBorder="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xf>
    <xf numFmtId="0" fontId="4" fillId="3" borderId="16" xfId="0" applyFont="1" applyFill="1" applyBorder="1" applyAlignment="1">
      <alignment vertical="center"/>
    </xf>
    <xf numFmtId="0" fontId="4" fillId="3" borderId="12" xfId="0" applyFont="1" applyFill="1" applyBorder="1" applyAlignment="1">
      <alignment vertical="center"/>
    </xf>
    <xf numFmtId="3" fontId="4" fillId="3" borderId="4" xfId="0" applyNumberFormat="1" applyFont="1" applyFill="1" applyBorder="1" applyAlignment="1">
      <alignment vertical="center"/>
    </xf>
    <xf numFmtId="0" fontId="4" fillId="3" borderId="7" xfId="0" applyFont="1" applyFill="1" applyBorder="1" applyAlignment="1">
      <alignment vertical="center"/>
    </xf>
    <xf numFmtId="0" fontId="0" fillId="0" borderId="0" xfId="0" applyFill="1" applyBorder="1" applyAlignment="1" applyProtection="1">
      <alignment vertical="center"/>
    </xf>
    <xf numFmtId="37" fontId="3" fillId="12" borderId="13" xfId="0" applyNumberFormat="1" applyFont="1" applyFill="1" applyBorder="1" applyAlignment="1" applyProtection="1">
      <alignment horizontal="left" vertical="center"/>
    </xf>
    <xf numFmtId="0" fontId="3" fillId="3" borderId="13" xfId="0" applyFont="1" applyFill="1" applyBorder="1" applyAlignment="1" applyProtection="1">
      <alignment vertical="center"/>
    </xf>
    <xf numFmtId="0" fontId="3" fillId="3" borderId="13" xfId="0" applyFont="1" applyFill="1" applyBorder="1" applyAlignment="1" applyProtection="1">
      <alignment horizontal="left" vertical="center"/>
    </xf>
    <xf numFmtId="0" fontId="3" fillId="3" borderId="13" xfId="0" applyFont="1" applyFill="1" applyBorder="1" applyAlignment="1">
      <alignment vertical="center"/>
    </xf>
    <xf numFmtId="0" fontId="37" fillId="0" borderId="0" xfId="0" applyFont="1" applyAlignment="1">
      <alignment horizontal="center"/>
    </xf>
    <xf numFmtId="37" fontId="3" fillId="3" borderId="0" xfId="0" applyNumberFormat="1" applyFont="1" applyFill="1" applyBorder="1" applyAlignment="1" applyProtection="1">
      <alignment horizontal="left" vertical="center"/>
    </xf>
    <xf numFmtId="37" fontId="17" fillId="3" borderId="0" xfId="0" applyNumberFormat="1" applyFont="1" applyFill="1" applyAlignment="1" applyProtection="1">
      <alignment horizontal="left" vertical="center"/>
    </xf>
    <xf numFmtId="0" fontId="24" fillId="0" borderId="0" xfId="0" applyFont="1" applyAlignment="1">
      <alignment horizontal="center" vertical="center" wrapText="1"/>
    </xf>
    <xf numFmtId="0" fontId="37" fillId="0" borderId="0" xfId="0" applyFont="1" applyAlignment="1">
      <alignment horizontal="center" vertical="center" wrapText="1"/>
    </xf>
    <xf numFmtId="0" fontId="43" fillId="0" borderId="0" xfId="0" applyFont="1" applyAlignment="1">
      <alignment vertical="center" wrapText="1"/>
    </xf>
    <xf numFmtId="0" fontId="5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left" vertical="center" wrapText="1" indent="2"/>
    </xf>
    <xf numFmtId="0" fontId="4" fillId="0" borderId="0" xfId="0" applyFont="1" applyAlignment="1">
      <alignment horizontal="left" vertical="center" wrapText="1"/>
    </xf>
    <xf numFmtId="0" fontId="4" fillId="0" borderId="0" xfId="0" applyFont="1" applyAlignment="1">
      <alignment horizontal="left" vertical="center" indent="2"/>
    </xf>
    <xf numFmtId="0" fontId="53" fillId="0" borderId="0" xfId="0" applyFont="1" applyAlignment="1">
      <alignment horizontal="left" vertical="center" wrapText="1" indent="4"/>
    </xf>
    <xf numFmtId="0" fontId="10" fillId="0" borderId="0" xfId="0" applyFont="1" applyAlignment="1">
      <alignment vertical="center" wrapText="1"/>
    </xf>
    <xf numFmtId="0" fontId="0" fillId="0" borderId="0" xfId="0" applyAlignment="1">
      <alignment vertical="center"/>
    </xf>
    <xf numFmtId="0" fontId="4" fillId="3" borderId="0" xfId="0" applyFont="1" applyFill="1" applyAlignment="1">
      <alignment horizontal="right" vertical="center"/>
    </xf>
    <xf numFmtId="0" fontId="55" fillId="17" borderId="0" xfId="479" applyFont="1" applyFill="1" applyAlignment="1">
      <alignment wrapText="1"/>
    </xf>
    <xf numFmtId="0" fontId="4" fillId="0" borderId="0" xfId="0" applyFont="1" applyAlignment="1">
      <alignment horizontal="right"/>
    </xf>
    <xf numFmtId="49" fontId="4" fillId="0" borderId="0" xfId="479" applyNumberFormat="1" applyFont="1" applyAlignment="1" applyProtection="1">
      <alignment horizontal="left" vertical="center"/>
      <protection locked="0"/>
    </xf>
    <xf numFmtId="0" fontId="0" fillId="0" borderId="0" xfId="0" applyAlignment="1">
      <alignment horizontal="left"/>
    </xf>
    <xf numFmtId="0" fontId="26" fillId="0" borderId="0" xfId="479" applyAlignment="1">
      <alignment horizontal="right"/>
    </xf>
    <xf numFmtId="0" fontId="26" fillId="0" borderId="0" xfId="479" applyAlignment="1">
      <alignment horizontal="left"/>
    </xf>
    <xf numFmtId="0" fontId="4" fillId="0" borderId="0" xfId="479" applyFont="1" applyAlignment="1">
      <alignment horizontal="right" vertical="center"/>
    </xf>
    <xf numFmtId="0" fontId="17" fillId="0" borderId="0" xfId="479" applyFont="1" applyAlignment="1">
      <alignment horizontal="left" vertical="center"/>
    </xf>
    <xf numFmtId="172" fontId="4" fillId="2" borderId="1" xfId="0" applyNumberFormat="1" applyFont="1" applyFill="1" applyBorder="1" applyAlignment="1" applyProtection="1">
      <alignment vertical="center"/>
      <protection locked="0"/>
    </xf>
    <xf numFmtId="0" fontId="4" fillId="3" borderId="28" xfId="0" applyFont="1" applyFill="1" applyBorder="1" applyAlignment="1" applyProtection="1">
      <alignment vertical="center"/>
    </xf>
    <xf numFmtId="0" fontId="4" fillId="3" borderId="29" xfId="0" applyFont="1" applyFill="1" applyBorder="1" applyAlignment="1" applyProtection="1">
      <alignment vertical="center"/>
    </xf>
    <xf numFmtId="172" fontId="30" fillId="15" borderId="12" xfId="0" applyNumberFormat="1" applyFont="1" applyFill="1" applyBorder="1" applyAlignment="1">
      <alignment horizontal="center" vertical="center"/>
    </xf>
    <xf numFmtId="0" fontId="30" fillId="12" borderId="0" xfId="0" applyFont="1" applyFill="1" applyAlignment="1">
      <alignment horizontal="left" vertical="center"/>
    </xf>
    <xf numFmtId="0" fontId="31" fillId="12" borderId="0" xfId="0" applyFont="1" applyFill="1" applyAlignment="1">
      <alignment horizontal="center" vertical="center"/>
    </xf>
    <xf numFmtId="0" fontId="0" fillId="12" borderId="16" xfId="0" applyFill="1" applyBorder="1" applyAlignment="1">
      <alignment vertical="center"/>
    </xf>
    <xf numFmtId="172" fontId="30" fillId="12" borderId="12" xfId="0" applyNumberFormat="1" applyFont="1" applyFill="1" applyBorder="1" applyAlignment="1">
      <alignment horizontal="center" vertical="center"/>
    </xf>
    <xf numFmtId="172" fontId="32" fillId="12" borderId="12" xfId="0" applyNumberFormat="1" applyFont="1" applyFill="1" applyBorder="1" applyAlignment="1">
      <alignment horizontal="center" vertical="center"/>
    </xf>
    <xf numFmtId="0" fontId="32" fillId="12" borderId="0" xfId="0" applyFont="1" applyFill="1" applyAlignment="1">
      <alignment horizontal="left" vertical="center"/>
    </xf>
    <xf numFmtId="172" fontId="30" fillId="12" borderId="10" xfId="0" applyNumberFormat="1" applyFont="1" applyFill="1" applyBorder="1" applyAlignment="1">
      <alignment horizontal="center" vertical="center"/>
    </xf>
    <xf numFmtId="0" fontId="4" fillId="12" borderId="6" xfId="0" applyFont="1" applyFill="1" applyBorder="1" applyAlignment="1">
      <alignment vertical="center"/>
    </xf>
    <xf numFmtId="0" fontId="4" fillId="12" borderId="0" xfId="0" applyFont="1" applyFill="1" applyAlignment="1">
      <alignment vertical="center"/>
    </xf>
    <xf numFmtId="0" fontId="4" fillId="12" borderId="16" xfId="0" applyFont="1" applyFill="1" applyBorder="1" applyAlignment="1">
      <alignment vertical="center"/>
    </xf>
    <xf numFmtId="0" fontId="48" fillId="0" borderId="0" xfId="0" applyFont="1" applyAlignment="1" applyProtection="1">
      <alignment vertical="center"/>
    </xf>
    <xf numFmtId="0" fontId="3" fillId="12" borderId="6" xfId="59" applyFont="1" applyFill="1" applyBorder="1" applyProtection="1"/>
    <xf numFmtId="172" fontId="4" fillId="12" borderId="16" xfId="59" applyNumberFormat="1" applyFont="1" applyFill="1" applyBorder="1" applyAlignment="1" applyProtection="1">
      <alignment horizontal="center"/>
    </xf>
    <xf numFmtId="37" fontId="4" fillId="3" borderId="0" xfId="0" applyNumberFormat="1" applyFont="1" applyFill="1" applyAlignment="1">
      <alignment horizontal="centerContinuous" vertical="center"/>
    </xf>
    <xf numFmtId="0" fontId="4" fillId="3" borderId="0" xfId="0" applyFont="1" applyFill="1" applyAlignment="1">
      <alignment horizontal="centerContinuous" vertical="center"/>
    </xf>
    <xf numFmtId="170" fontId="4" fillId="3" borderId="1" xfId="0" applyNumberFormat="1" applyFont="1" applyFill="1" applyBorder="1" applyAlignment="1">
      <alignment horizontal="centerContinuous" vertical="center"/>
    </xf>
    <xf numFmtId="170" fontId="4" fillId="3" borderId="1" xfId="0" applyNumberFormat="1" applyFont="1" applyFill="1" applyBorder="1" applyAlignment="1">
      <alignment horizontal="center" vertical="center"/>
    </xf>
    <xf numFmtId="0" fontId="4" fillId="3" borderId="0" xfId="0" applyFont="1" applyFill="1" applyAlignment="1">
      <alignment horizontal="fill" vertical="center"/>
    </xf>
    <xf numFmtId="49" fontId="4" fillId="3" borderId="0" xfId="0" applyNumberFormat="1" applyFont="1" applyFill="1" applyAlignment="1" applyProtection="1">
      <alignment horizontal="left" vertical="center"/>
      <protection locked="0"/>
    </xf>
    <xf numFmtId="0" fontId="4" fillId="0" borderId="4" xfId="0" applyFont="1" applyBorder="1"/>
    <xf numFmtId="0" fontId="10" fillId="0" borderId="0" xfId="0" applyFont="1" applyAlignment="1">
      <alignment horizontal="center"/>
    </xf>
    <xf numFmtId="0" fontId="3" fillId="0" borderId="0" xfId="0" applyFont="1"/>
    <xf numFmtId="0" fontId="54" fillId="0" borderId="0" xfId="0" applyFont="1" applyAlignment="1">
      <alignment horizontal="center" vertical="center"/>
    </xf>
    <xf numFmtId="0" fontId="4" fillId="0" borderId="0" xfId="0" quotePrefix="1" applyFont="1"/>
    <xf numFmtId="0" fontId="4" fillId="0" borderId="0" xfId="0" applyFont="1" applyAlignment="1"/>
    <xf numFmtId="0" fontId="4" fillId="0" borderId="0" xfId="181" applyFont="1"/>
    <xf numFmtId="0" fontId="4" fillId="0" borderId="0" xfId="181" applyFont="1" applyFill="1"/>
    <xf numFmtId="0" fontId="38" fillId="0" borderId="0" xfId="17" applyFont="1" applyAlignment="1" applyProtection="1"/>
    <xf numFmtId="0" fontId="5" fillId="0" borderId="0" xfId="0" applyFont="1" applyAlignment="1">
      <alignment vertical="center" wrapText="1"/>
    </xf>
    <xf numFmtId="0" fontId="0" fillId="0" borderId="0" xfId="0" applyAlignment="1">
      <alignment vertical="center"/>
    </xf>
    <xf numFmtId="172" fontId="17" fillId="3" borderId="3" xfId="0" applyNumberFormat="1" applyFont="1" applyFill="1" applyBorder="1" applyAlignment="1" applyProtection="1">
      <alignment vertical="center"/>
    </xf>
    <xf numFmtId="37" fontId="4" fillId="3" borderId="15" xfId="0" applyNumberFormat="1" applyFont="1" applyFill="1" applyBorder="1" applyAlignment="1" applyProtection="1">
      <alignment horizontal="left" vertical="center"/>
    </xf>
    <xf numFmtId="164" fontId="4" fillId="13" borderId="15" xfId="0" applyNumberFormat="1" applyFont="1" applyFill="1" applyBorder="1" applyAlignment="1" applyProtection="1">
      <alignment vertical="center"/>
    </xf>
    <xf numFmtId="170" fontId="4" fillId="13" borderId="15" xfId="0" applyNumberFormat="1" applyFont="1" applyFill="1" applyBorder="1" applyAlignment="1" applyProtection="1">
      <alignment vertical="center"/>
    </xf>
    <xf numFmtId="3" fontId="4" fillId="13" borderId="30" xfId="0" applyNumberFormat="1" applyFont="1" applyFill="1" applyBorder="1" applyAlignment="1" applyProtection="1">
      <alignment horizontal="right" vertical="center"/>
    </xf>
    <xf numFmtId="172" fontId="4" fillId="8" borderId="11" xfId="0" applyNumberFormat="1" applyFont="1" applyFill="1" applyBorder="1" applyAlignment="1" applyProtection="1">
      <alignment horizontal="right" vertical="center"/>
    </xf>
    <xf numFmtId="0" fontId="0" fillId="0" borderId="0" xfId="0" applyBorder="1" applyAlignment="1">
      <alignment vertical="center"/>
    </xf>
    <xf numFmtId="0" fontId="4" fillId="12" borderId="0" xfId="0" applyFont="1" applyFill="1" applyBorder="1" applyAlignment="1" applyProtection="1">
      <alignment horizontal="right" vertical="center"/>
    </xf>
    <xf numFmtId="170" fontId="14" fillId="12" borderId="0" xfId="0" applyNumberFormat="1" applyFont="1" applyFill="1" applyBorder="1" applyAlignment="1" applyProtection="1">
      <alignment horizontal="center" vertical="center"/>
    </xf>
    <xf numFmtId="170" fontId="4" fillId="12" borderId="1"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3" fontId="4" fillId="3" borderId="31" xfId="0" applyNumberFormat="1" applyFont="1" applyFill="1" applyBorder="1" applyAlignment="1" applyProtection="1">
      <alignment horizontal="right" vertical="center"/>
    </xf>
    <xf numFmtId="0" fontId="4" fillId="3" borderId="31" xfId="0" applyFont="1" applyFill="1" applyBorder="1" applyAlignment="1" applyProtection="1">
      <alignment horizontal="right" vertical="center"/>
    </xf>
    <xf numFmtId="3" fontId="4" fillId="7" borderId="1" xfId="0" applyNumberFormat="1" applyFont="1" applyFill="1" applyBorder="1" applyAlignment="1" applyProtection="1">
      <alignment horizontal="left" vertical="center"/>
      <protection locked="0"/>
    </xf>
    <xf numFmtId="0" fontId="4" fillId="7" borderId="10" xfId="63" applyFont="1" applyFill="1" applyBorder="1" applyAlignment="1" applyProtection="1">
      <alignment horizontal="left" vertical="center"/>
      <protection locked="0"/>
    </xf>
    <xf numFmtId="0" fontId="4" fillId="7" borderId="10" xfId="0" applyFont="1" applyFill="1" applyBorder="1" applyAlignment="1" applyProtection="1">
      <alignment horizontal="left"/>
      <protection locked="0"/>
    </xf>
    <xf numFmtId="0" fontId="4" fillId="7" borderId="13" xfId="0" applyFont="1" applyFill="1" applyBorder="1" applyAlignment="1" applyProtection="1">
      <alignment horizontal="left" vertical="center"/>
      <protection locked="0"/>
    </xf>
    <xf numFmtId="0" fontId="4" fillId="7" borderId="10" xfId="63" applyFont="1" applyFill="1" applyBorder="1" applyProtection="1">
      <protection locked="0"/>
    </xf>
    <xf numFmtId="3" fontId="4" fillId="7" borderId="1" xfId="394" applyNumberFormat="1" applyFont="1" applyFill="1" applyBorder="1" applyProtection="1">
      <protection locked="0"/>
    </xf>
    <xf numFmtId="0" fontId="4" fillId="7" borderId="10" xfId="391" applyFont="1" applyFill="1" applyBorder="1" applyProtection="1">
      <protection locked="0"/>
    </xf>
    <xf numFmtId="3" fontId="4" fillId="7" borderId="1" xfId="400" applyNumberFormat="1" applyFont="1" applyFill="1" applyBorder="1" applyProtection="1">
      <protection locked="0"/>
    </xf>
    <xf numFmtId="37" fontId="12" fillId="3" borderId="0" xfId="0" applyNumberFormat="1" applyFont="1" applyFill="1" applyAlignment="1" applyProtection="1">
      <alignment horizontal="center" vertical="center"/>
    </xf>
    <xf numFmtId="0" fontId="13" fillId="0" borderId="0" xfId="0" applyFont="1" applyAlignment="1">
      <alignment horizontal="center" vertical="center"/>
    </xf>
    <xf numFmtId="37" fontId="10" fillId="3" borderId="0" xfId="0" applyNumberFormat="1" applyFont="1" applyFill="1" applyAlignment="1" applyProtection="1">
      <alignment horizontal="center" vertical="center"/>
    </xf>
    <xf numFmtId="0" fontId="0" fillId="0" borderId="0" xfId="0" applyAlignment="1">
      <alignment horizontal="center" vertical="center"/>
    </xf>
    <xf numFmtId="37" fontId="3" fillId="3" borderId="0" xfId="30" applyNumberFormat="1" applyFont="1" applyFill="1" applyAlignment="1" applyProtection="1">
      <alignment vertical="center" wrapText="1"/>
    </xf>
    <xf numFmtId="0" fontId="4" fillId="3" borderId="13" xfId="30" applyFont="1" applyFill="1" applyBorder="1" applyAlignment="1" applyProtection="1">
      <alignment vertical="center" wrapText="1"/>
    </xf>
    <xf numFmtId="0" fontId="2" fillId="0" borderId="14" xfId="30" applyBorder="1" applyAlignment="1">
      <alignment vertical="center" wrapText="1"/>
    </xf>
    <xf numFmtId="0" fontId="2" fillId="0" borderId="6" xfId="30" applyBorder="1" applyAlignment="1">
      <alignment vertical="center" wrapText="1"/>
    </xf>
    <xf numFmtId="0" fontId="2" fillId="0" borderId="16" xfId="30" applyBorder="1" applyAlignment="1">
      <alignment vertical="center" wrapText="1"/>
    </xf>
    <xf numFmtId="0" fontId="2" fillId="0" borderId="12" xfId="30" applyBorder="1" applyAlignment="1">
      <alignment vertical="center" wrapText="1"/>
    </xf>
    <xf numFmtId="0" fontId="2" fillId="0" borderId="7" xfId="30" applyBorder="1" applyAlignment="1">
      <alignment vertical="center" wrapText="1"/>
    </xf>
    <xf numFmtId="37" fontId="4" fillId="2" borderId="10" xfId="0" applyNumberFormat="1" applyFont="1" applyFill="1" applyBorder="1" applyAlignment="1" applyProtection="1">
      <alignment horizontal="center" vertical="center"/>
      <protection locked="0"/>
    </xf>
    <xf numFmtId="37" fontId="4" fillId="2" borderId="8" xfId="0" applyNumberFormat="1" applyFont="1" applyFill="1" applyBorder="1" applyAlignment="1" applyProtection="1">
      <alignment horizontal="center" vertical="center"/>
      <protection locked="0"/>
    </xf>
    <xf numFmtId="0" fontId="14" fillId="3" borderId="0" xfId="0" applyFont="1" applyFill="1" applyBorder="1" applyAlignment="1">
      <alignment vertical="center"/>
    </xf>
    <xf numFmtId="0" fontId="16" fillId="0" borderId="0" xfId="0" applyFont="1" applyAlignment="1">
      <alignment vertical="center"/>
    </xf>
    <xf numFmtId="37" fontId="10" fillId="3"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4" fillId="5" borderId="9" xfId="0" applyFont="1" applyFill="1" applyBorder="1" applyAlignment="1">
      <alignment vertical="center" wrapText="1"/>
    </xf>
    <xf numFmtId="0" fontId="0" fillId="0" borderId="9" xfId="0" applyBorder="1" applyAlignment="1">
      <alignment vertical="center" wrapText="1"/>
    </xf>
    <xf numFmtId="0" fontId="3"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54" fillId="19" borderId="0" xfId="0" applyFont="1" applyFill="1" applyAlignment="1">
      <alignment horizontal="center" vertical="center"/>
    </xf>
    <xf numFmtId="0" fontId="55" fillId="19" borderId="0" xfId="479" applyFont="1" applyFill="1" applyAlignment="1">
      <alignment horizontal="center" vertical="center" wrapText="1"/>
    </xf>
    <xf numFmtId="0" fontId="4" fillId="0" borderId="0" xfId="479" applyFont="1" applyAlignment="1">
      <alignment horizontal="center" vertical="center" wrapText="1"/>
    </xf>
    <xf numFmtId="49" fontId="4" fillId="2" borderId="10" xfId="479" applyNumberFormat="1" applyFont="1" applyFill="1" applyBorder="1" applyAlignment="1" applyProtection="1">
      <alignment horizontal="left" vertical="center"/>
      <protection locked="0"/>
    </xf>
    <xf numFmtId="49" fontId="4" fillId="2" borderId="5" xfId="479" applyNumberFormat="1" applyFont="1" applyFill="1" applyBorder="1" applyAlignment="1" applyProtection="1">
      <alignment horizontal="left" vertical="center"/>
      <protection locked="0"/>
    </xf>
    <xf numFmtId="49" fontId="4" fillId="2" borderId="8" xfId="479" applyNumberFormat="1" applyFont="1" applyFill="1" applyBorder="1" applyAlignment="1" applyProtection="1">
      <alignment horizontal="left" vertical="center"/>
      <protection locked="0"/>
    </xf>
    <xf numFmtId="0" fontId="17" fillId="0" borderId="0" xfId="0" applyFont="1" applyAlignment="1">
      <alignment horizontal="center" vertical="top" wrapText="1"/>
    </xf>
    <xf numFmtId="0" fontId="4" fillId="2" borderId="10" xfId="479" applyFont="1" applyFill="1" applyBorder="1" applyAlignment="1" applyProtection="1">
      <alignment horizontal="left" vertical="center"/>
      <protection locked="0"/>
    </xf>
    <xf numFmtId="0" fontId="4" fillId="2" borderId="5" xfId="479" applyFont="1" applyFill="1" applyBorder="1" applyAlignment="1" applyProtection="1">
      <alignment horizontal="left" vertical="center"/>
      <protection locked="0"/>
    </xf>
    <xf numFmtId="0" fontId="4" fillId="2" borderId="8" xfId="479" applyFont="1" applyFill="1" applyBorder="1" applyAlignment="1" applyProtection="1">
      <alignment horizontal="left" vertical="center"/>
      <protection locked="0"/>
    </xf>
    <xf numFmtId="0" fontId="3" fillId="12" borderId="0" xfId="0" applyFont="1" applyFill="1" applyBorder="1" applyAlignment="1" applyProtection="1">
      <alignment horizontal="left" vertical="top" wrapText="1"/>
    </xf>
    <xf numFmtId="0" fontId="27" fillId="3" borderId="0" xfId="0" applyFont="1" applyFill="1" applyAlignment="1" applyProtection="1">
      <alignment horizontal="center" vertical="center"/>
    </xf>
    <xf numFmtId="37" fontId="4" fillId="3" borderId="0" xfId="0" applyNumberFormat="1" applyFont="1" applyFill="1" applyAlignment="1" applyProtection="1">
      <alignment horizontal="center" vertical="center"/>
    </xf>
    <xf numFmtId="0" fontId="4" fillId="3" borderId="0" xfId="0" applyFont="1" applyFill="1" applyAlignment="1" applyProtection="1">
      <alignment horizontal="center" vertical="center"/>
    </xf>
    <xf numFmtId="0" fontId="0" fillId="0" borderId="0" xfId="0" applyAlignment="1">
      <alignment vertical="center"/>
    </xf>
    <xf numFmtId="0" fontId="7" fillId="4" borderId="2" xfId="0" applyFont="1" applyFill="1" applyBorder="1" applyAlignment="1" applyProtection="1">
      <alignment horizontal="center" vertical="center" wrapText="1" shrinkToFit="1"/>
    </xf>
    <xf numFmtId="0" fontId="7" fillId="4" borderId="3" xfId="0" applyFont="1" applyFill="1" applyBorder="1" applyAlignment="1" applyProtection="1">
      <alignment horizontal="center" vertical="center" wrapText="1" shrinkToFit="1"/>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12" borderId="0" xfId="0" applyFont="1" applyFill="1" applyBorder="1" applyAlignment="1" applyProtection="1">
      <alignment horizontal="right" vertical="center"/>
    </xf>
    <xf numFmtId="0" fontId="4" fillId="12" borderId="16" xfId="0" applyFont="1" applyFill="1" applyBorder="1" applyAlignment="1" applyProtection="1">
      <alignment horizontal="right" vertical="center"/>
    </xf>
    <xf numFmtId="37" fontId="4" fillId="3" borderId="2" xfId="0" applyNumberFormat="1" applyFont="1" applyFill="1" applyBorder="1" applyAlignment="1" applyProtection="1">
      <alignment horizontal="center" vertical="center" wrapText="1"/>
    </xf>
    <xf numFmtId="37" fontId="4" fillId="3" borderId="11" xfId="0" applyNumberFormat="1" applyFont="1" applyFill="1" applyBorder="1" applyAlignment="1" applyProtection="1">
      <alignment horizontal="center" vertical="center" wrapText="1"/>
    </xf>
    <xf numFmtId="37" fontId="4" fillId="3" borderId="3" xfId="0" applyNumberFormat="1" applyFont="1" applyFill="1" applyBorder="1" applyAlignment="1" applyProtection="1">
      <alignment horizontal="center" vertical="center" wrapText="1"/>
    </xf>
    <xf numFmtId="37" fontId="4" fillId="3" borderId="10" xfId="0" applyNumberFormat="1" applyFont="1" applyFill="1" applyBorder="1" applyAlignment="1" applyProtection="1">
      <alignment horizontal="left" vertical="center"/>
    </xf>
    <xf numFmtId="37" fontId="4" fillId="3" borderId="8" xfId="0" applyNumberFormat="1" applyFont="1" applyFill="1" applyBorder="1" applyAlignment="1" applyProtection="1">
      <alignment horizontal="left" vertical="center"/>
    </xf>
    <xf numFmtId="37" fontId="4" fillId="3" borderId="10" xfId="0" applyNumberFormat="1" applyFont="1" applyFill="1" applyBorder="1" applyAlignment="1" applyProtection="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37" fontId="3" fillId="3" borderId="0" xfId="30" applyNumberFormat="1" applyFont="1" applyFill="1" applyAlignment="1" applyProtection="1">
      <alignment horizontal="center" vertical="center"/>
    </xf>
    <xf numFmtId="0" fontId="2" fillId="0" borderId="0" xfId="30" applyAlignment="1">
      <alignment horizontal="center" vertical="center"/>
    </xf>
    <xf numFmtId="0" fontId="3" fillId="3" borderId="0" xfId="0" applyFont="1" applyFill="1" applyAlignment="1">
      <alignment horizontal="center" vertical="center"/>
    </xf>
    <xf numFmtId="0" fontId="4" fillId="3" borderId="12" xfId="0" applyFont="1" applyFill="1" applyBorder="1" applyAlignment="1" applyProtection="1">
      <alignment horizontal="center" vertical="center"/>
    </xf>
    <xf numFmtId="0" fontId="0" fillId="0" borderId="7" xfId="0" applyBorder="1" applyAlignment="1" applyProtection="1">
      <alignment vertical="center"/>
    </xf>
    <xf numFmtId="1" fontId="4" fillId="3" borderId="12" xfId="0" applyNumberFormat="1" applyFont="1" applyFill="1" applyBorder="1" applyAlignment="1" applyProtection="1">
      <alignment horizontal="center" vertical="center"/>
    </xf>
    <xf numFmtId="0" fontId="0" fillId="0" borderId="7" xfId="0" applyBorder="1" applyAlignment="1" applyProtection="1">
      <alignment horizontal="center" vertical="center"/>
    </xf>
    <xf numFmtId="0" fontId="24" fillId="5" borderId="0" xfId="512" applyFont="1" applyFill="1" applyAlignment="1" applyProtection="1">
      <alignment horizontal="center" vertical="center"/>
    </xf>
    <xf numFmtId="0" fontId="10" fillId="12" borderId="0" xfId="499" applyFont="1" applyFill="1" applyAlignment="1">
      <alignment horizontal="center"/>
    </xf>
    <xf numFmtId="0" fontId="2" fillId="12" borderId="0" xfId="40" applyFill="1" applyAlignment="1">
      <alignment horizontal="center"/>
    </xf>
    <xf numFmtId="0" fontId="3" fillId="12" borderId="0" xfId="40" applyFont="1" applyFill="1" applyAlignment="1">
      <alignment horizontal="center" vertical="center"/>
    </xf>
    <xf numFmtId="0" fontId="10" fillId="12" borderId="0" xfId="40" applyFont="1" applyFill="1" applyAlignment="1">
      <alignment horizontal="center" vertical="center"/>
    </xf>
    <xf numFmtId="0" fontId="4" fillId="12" borderId="0" xfId="40" applyFont="1" applyFill="1" applyAlignment="1">
      <alignment vertical="center" wrapText="1"/>
    </xf>
    <xf numFmtId="0" fontId="4" fillId="3" borderId="9" xfId="0" applyNumberFormat="1" applyFont="1" applyFill="1" applyBorder="1" applyAlignment="1" applyProtection="1">
      <alignment horizontal="right" vertical="center"/>
    </xf>
    <xf numFmtId="0" fontId="0" fillId="0" borderId="9" xfId="0" applyBorder="1" applyAlignment="1">
      <alignment horizontal="right" vertical="center"/>
    </xf>
    <xf numFmtId="0" fontId="4" fillId="3" borderId="0" xfId="0" applyNumberFormat="1" applyFont="1" applyFill="1" applyBorder="1" applyAlignment="1" applyProtection="1">
      <alignment horizontal="right" vertical="center"/>
    </xf>
    <xf numFmtId="0" fontId="0" fillId="0" borderId="0" xfId="0" applyBorder="1" applyAlignment="1">
      <alignment horizontal="right" vertical="center"/>
    </xf>
    <xf numFmtId="0" fontId="4" fillId="3" borderId="4" xfId="0" applyNumberFormat="1" applyFont="1" applyFill="1" applyBorder="1" applyAlignment="1" applyProtection="1">
      <alignment horizontal="right" vertical="center"/>
    </xf>
    <xf numFmtId="0" fontId="0" fillId="0" borderId="4" xfId="0" applyBorder="1" applyAlignment="1">
      <alignment horizontal="right" vertical="center"/>
    </xf>
    <xf numFmtId="0" fontId="31" fillId="12" borderId="13" xfId="58" applyFont="1" applyFill="1" applyBorder="1" applyAlignment="1" applyProtection="1">
      <alignment horizontal="center" vertical="center"/>
    </xf>
    <xf numFmtId="0" fontId="31" fillId="12" borderId="9" xfId="58" applyFont="1" applyFill="1" applyBorder="1" applyAlignment="1" applyProtection="1">
      <alignment horizontal="center" vertical="center"/>
    </xf>
    <xf numFmtId="0" fontId="2" fillId="0" borderId="14" xfId="58" applyBorder="1" applyAlignment="1" applyProtection="1">
      <alignment vertical="center"/>
    </xf>
    <xf numFmtId="3" fontId="4" fillId="3" borderId="9" xfId="63" applyNumberFormat="1" applyFont="1" applyFill="1" applyBorder="1" applyAlignment="1" applyProtection="1">
      <alignment horizontal="right" vertical="center"/>
    </xf>
    <xf numFmtId="0" fontId="2" fillId="0" borderId="14" xfId="63" applyBorder="1" applyAlignment="1">
      <alignment horizontal="right" vertical="center"/>
    </xf>
    <xf numFmtId="0" fontId="4" fillId="3" borderId="0" xfId="63" applyFont="1" applyFill="1" applyAlignment="1" applyProtection="1">
      <alignment horizontal="right" vertical="center"/>
    </xf>
    <xf numFmtId="0" fontId="4" fillId="0" borderId="16" xfId="63" applyFont="1" applyBorder="1" applyAlignment="1">
      <alignment horizontal="right" vertical="center"/>
    </xf>
    <xf numFmtId="0" fontId="0" fillId="0" borderId="0" xfId="0" applyAlignment="1">
      <alignment horizontal="right" vertical="center"/>
    </xf>
    <xf numFmtId="0" fontId="0" fillId="0" borderId="9" xfId="0" applyBorder="1" applyAlignment="1">
      <alignment vertical="center"/>
    </xf>
    <xf numFmtId="0" fontId="0" fillId="0" borderId="14" xfId="0" applyBorder="1" applyAlignment="1">
      <alignment vertical="center"/>
    </xf>
    <xf numFmtId="172" fontId="31" fillId="12" borderId="13" xfId="0" applyNumberFormat="1" applyFont="1" applyFill="1" applyBorder="1" applyAlignment="1">
      <alignment horizontal="center" wrapText="1"/>
    </xf>
    <xf numFmtId="172" fontId="31" fillId="12" borderId="9" xfId="0" applyNumberFormat="1" applyFont="1" applyFill="1" applyBorder="1" applyAlignment="1">
      <alignment horizontal="center" wrapText="1"/>
    </xf>
    <xf numFmtId="172" fontId="31" fillId="12" borderId="14" xfId="0" applyNumberFormat="1" applyFont="1" applyFill="1" applyBorder="1" applyAlignment="1">
      <alignment horizontal="center" wrapText="1"/>
    </xf>
    <xf numFmtId="172" fontId="31" fillId="12" borderId="6" xfId="0" applyNumberFormat="1" applyFont="1" applyFill="1" applyBorder="1" applyAlignment="1">
      <alignment horizontal="center" wrapText="1"/>
    </xf>
    <xf numFmtId="172" fontId="31" fillId="12" borderId="0" xfId="0" applyNumberFormat="1" applyFont="1" applyFill="1" applyAlignment="1">
      <alignment horizontal="center" wrapText="1"/>
    </xf>
    <xf numFmtId="172" fontId="31" fillId="12" borderId="16" xfId="0" applyNumberFormat="1" applyFont="1" applyFill="1" applyBorder="1" applyAlignment="1">
      <alignment horizont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12" xfId="0" applyFont="1" applyFill="1" applyBorder="1" applyAlignment="1">
      <alignment horizontal="center" vertical="center" wrapText="1"/>
    </xf>
    <xf numFmtId="0" fontId="4" fillId="12" borderId="4" xfId="0" applyFont="1" applyFill="1" applyBorder="1" applyAlignment="1">
      <alignment horizontal="center" vertical="center" wrapText="1"/>
    </xf>
    <xf numFmtId="49" fontId="56" fillId="12" borderId="16" xfId="0" applyNumberFormat="1" applyFont="1" applyFill="1" applyBorder="1" applyAlignment="1">
      <alignment horizontal="center" vertical="center"/>
    </xf>
    <xf numFmtId="49" fontId="56" fillId="12" borderId="7" xfId="0" applyNumberFormat="1" applyFont="1" applyFill="1" applyBorder="1" applyAlignment="1">
      <alignment horizontal="center" vertical="center"/>
    </xf>
    <xf numFmtId="0" fontId="48" fillId="0" borderId="9" xfId="0" applyFont="1" applyBorder="1" applyAlignment="1" applyProtection="1">
      <alignment horizontal="center" vertical="center" wrapText="1"/>
      <protection locked="0"/>
    </xf>
    <xf numFmtId="0" fontId="48" fillId="0" borderId="0" xfId="0" applyFont="1" applyAlignment="1" applyProtection="1">
      <alignment horizontal="center" vertical="center" wrapText="1"/>
      <protection locked="0"/>
    </xf>
    <xf numFmtId="0" fontId="31" fillId="12" borderId="13" xfId="0" applyFont="1" applyFill="1" applyBorder="1" applyAlignment="1" applyProtection="1">
      <alignment horizontal="center" vertical="center"/>
    </xf>
    <xf numFmtId="0" fontId="31" fillId="12" borderId="13" xfId="30" applyFont="1" applyFill="1" applyBorder="1" applyAlignment="1" applyProtection="1">
      <alignment horizontal="center" vertical="center"/>
    </xf>
    <xf numFmtId="0" fontId="31" fillId="12" borderId="9" xfId="30" applyFont="1" applyFill="1" applyBorder="1" applyAlignment="1" applyProtection="1">
      <alignment horizontal="center" vertical="center"/>
    </xf>
    <xf numFmtId="0" fontId="31" fillId="12" borderId="14" xfId="30" applyFont="1" applyFill="1" applyBorder="1" applyAlignment="1" applyProtection="1">
      <alignment horizontal="center" vertical="center"/>
    </xf>
    <xf numFmtId="0" fontId="4" fillId="3" borderId="0" xfId="15" applyNumberFormat="1" applyFont="1" applyFill="1" applyBorder="1" applyAlignment="1" applyProtection="1">
      <alignment horizontal="right" vertical="center"/>
    </xf>
    <xf numFmtId="0" fontId="4" fillId="0" borderId="0" xfId="15" applyFont="1" applyAlignment="1" applyProtection="1">
      <alignment horizontal="right" vertical="center"/>
    </xf>
    <xf numFmtId="0" fontId="34" fillId="12" borderId="13" xfId="58" applyFont="1" applyFill="1" applyBorder="1" applyAlignment="1" applyProtection="1">
      <alignment horizontal="center" vertical="center"/>
    </xf>
    <xf numFmtId="0" fontId="0" fillId="0" borderId="9" xfId="0" applyBorder="1" applyAlignment="1">
      <alignment horizontal="center" vertical="center"/>
    </xf>
    <xf numFmtId="0" fontId="31" fillId="12" borderId="9" xfId="0" applyFont="1" applyFill="1" applyBorder="1" applyAlignment="1" applyProtection="1">
      <alignment horizontal="center" vertical="center"/>
    </xf>
    <xf numFmtId="0" fontId="31" fillId="12" borderId="14" xfId="0" applyFont="1" applyFill="1" applyBorder="1" applyAlignment="1" applyProtection="1">
      <alignment horizontal="center" vertical="center"/>
    </xf>
    <xf numFmtId="0" fontId="39" fillId="0" borderId="9" xfId="0" applyFont="1" applyBorder="1" applyAlignment="1">
      <alignment horizontal="center" vertical="center"/>
    </xf>
    <xf numFmtId="0" fontId="0" fillId="0" borderId="14" xfId="0" applyBorder="1" applyAlignment="1"/>
    <xf numFmtId="172" fontId="31" fillId="12" borderId="0" xfId="0" applyNumberFormat="1" applyFont="1" applyFill="1" applyBorder="1" applyAlignment="1">
      <alignment horizontal="center" wrapText="1"/>
    </xf>
    <xf numFmtId="0" fontId="4" fillId="5" borderId="0" xfId="0" applyFont="1" applyFill="1" applyAlignment="1">
      <alignment horizontal="right" vertical="center"/>
    </xf>
    <xf numFmtId="0" fontId="3" fillId="3" borderId="10" xfId="0" applyFont="1" applyFill="1" applyBorder="1" applyAlignment="1">
      <alignment vertical="center"/>
    </xf>
    <xf numFmtId="0" fontId="3" fillId="3" borderId="8" xfId="0" applyFont="1" applyFill="1" applyBorder="1" applyAlignment="1">
      <alignment vertical="center"/>
    </xf>
    <xf numFmtId="37" fontId="4" fillId="3" borderId="2" xfId="0" applyNumberFormat="1" applyFont="1" applyFill="1" applyBorder="1" applyAlignment="1" applyProtection="1">
      <alignment horizontal="center" wrapText="1"/>
    </xf>
    <xf numFmtId="37" fontId="4" fillId="3" borderId="3" xfId="0" applyNumberFormat="1" applyFont="1" applyFill="1" applyBorder="1" applyAlignment="1" applyProtection="1">
      <alignment horizontal="center" wrapText="1"/>
    </xf>
    <xf numFmtId="37" fontId="4" fillId="3" borderId="2" xfId="0" applyNumberFormat="1" applyFont="1" applyFill="1" applyBorder="1" applyAlignment="1" applyProtection="1">
      <alignment horizontal="center"/>
    </xf>
    <xf numFmtId="37" fontId="4" fillId="3" borderId="3" xfId="0" applyNumberFormat="1" applyFont="1" applyFill="1" applyBorder="1" applyAlignment="1" applyProtection="1">
      <alignment horizontal="center"/>
    </xf>
    <xf numFmtId="37" fontId="4" fillId="3" borderId="2" xfId="58" applyNumberFormat="1" applyFont="1" applyFill="1" applyBorder="1" applyAlignment="1" applyProtection="1">
      <alignment horizontal="center" wrapText="1"/>
    </xf>
    <xf numFmtId="37" fontId="4" fillId="3" borderId="3" xfId="58" applyNumberFormat="1" applyFont="1" applyFill="1" applyBorder="1" applyAlignment="1" applyProtection="1">
      <alignment horizontal="center" wrapText="1"/>
    </xf>
    <xf numFmtId="0" fontId="10" fillId="12" borderId="13" xfId="59" applyFont="1" applyFill="1" applyBorder="1" applyAlignment="1" applyProtection="1">
      <alignment horizontal="center"/>
    </xf>
    <xf numFmtId="0" fontId="0" fillId="0" borderId="9" xfId="0" applyBorder="1" applyAlignment="1">
      <alignment horizontal="center"/>
    </xf>
    <xf numFmtId="0" fontId="0" fillId="0" borderId="14" xfId="0" applyBorder="1" applyAlignment="1">
      <alignment horizontal="center"/>
    </xf>
    <xf numFmtId="0" fontId="2" fillId="0" borderId="9" xfId="59" applyBorder="1" applyAlignment="1" applyProtection="1">
      <alignment horizontal="center"/>
    </xf>
    <xf numFmtId="0" fontId="2" fillId="0" borderId="14" xfId="59" applyBorder="1" applyAlignment="1" applyProtection="1">
      <alignment horizontal="center"/>
    </xf>
    <xf numFmtId="0" fontId="10" fillId="12" borderId="9" xfId="59" applyFont="1" applyFill="1" applyBorder="1" applyAlignment="1" applyProtection="1">
      <alignment horizontal="center"/>
    </xf>
    <xf numFmtId="0" fontId="10" fillId="12" borderId="14" xfId="59" applyFont="1" applyFill="1" applyBorder="1" applyAlignment="1" applyProtection="1">
      <alignment horizontal="center"/>
    </xf>
    <xf numFmtId="49" fontId="3" fillId="3" borderId="4"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37" fontId="17" fillId="3" borderId="12" xfId="0" applyNumberFormat="1" applyFont="1" applyFill="1" applyBorder="1" applyAlignment="1" applyProtection="1">
      <alignment horizontal="right" vertical="center"/>
    </xf>
    <xf numFmtId="37" fontId="17" fillId="3" borderId="4" xfId="0" applyNumberFormat="1" applyFont="1" applyFill="1" applyBorder="1" applyAlignment="1" applyProtection="1">
      <alignment horizontal="right" vertical="center"/>
    </xf>
    <xf numFmtId="37" fontId="17" fillId="3" borderId="7" xfId="0" applyNumberFormat="1" applyFont="1" applyFill="1" applyBorder="1" applyAlignment="1" applyProtection="1">
      <alignment horizontal="right" vertical="center"/>
    </xf>
    <xf numFmtId="0" fontId="3" fillId="12" borderId="13" xfId="0" applyFont="1" applyFill="1" applyBorder="1" applyAlignment="1">
      <alignment horizontal="center" wrapText="1"/>
    </xf>
    <xf numFmtId="0" fontId="10" fillId="12" borderId="9" xfId="0" applyFont="1" applyFill="1" applyBorder="1" applyAlignment="1">
      <alignment horizontal="center" wrapText="1"/>
    </xf>
    <xf numFmtId="0" fontId="10" fillId="12" borderId="12" xfId="0" applyFont="1" applyFill="1" applyBorder="1" applyAlignment="1">
      <alignment horizontal="center" wrapText="1"/>
    </xf>
    <xf numFmtId="0" fontId="10" fillId="12" borderId="4" xfId="0" applyFont="1" applyFill="1" applyBorder="1" applyAlignment="1">
      <alignment horizontal="center" wrapText="1"/>
    </xf>
    <xf numFmtId="0" fontId="54" fillId="12" borderId="14" xfId="0" applyFont="1" applyFill="1" applyBorder="1" applyAlignment="1">
      <alignment horizontal="center" vertical="center" wrapText="1"/>
    </xf>
    <xf numFmtId="0" fontId="55" fillId="12" borderId="7" xfId="0" applyFont="1" applyFill="1" applyBorder="1" applyAlignment="1">
      <alignment horizontal="center" vertical="center" wrapText="1"/>
    </xf>
    <xf numFmtId="37" fontId="3" fillId="18" borderId="0" xfId="0" applyNumberFormat="1" applyFont="1" applyFill="1" applyAlignment="1" applyProtection="1">
      <alignment horizontal="center" vertical="center"/>
    </xf>
    <xf numFmtId="37" fontId="4" fillId="12" borderId="0" xfId="0" applyNumberFormat="1" applyFont="1" applyFill="1" applyAlignment="1" applyProtection="1">
      <alignment horizontal="center" vertical="center"/>
    </xf>
    <xf numFmtId="37" fontId="4" fillId="12" borderId="0" xfId="86" applyNumberFormat="1" applyFont="1" applyFill="1" applyAlignment="1" applyProtection="1">
      <alignment horizontal="center"/>
    </xf>
    <xf numFmtId="37"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4" fillId="3" borderId="1" xfId="0" applyFont="1" applyFill="1" applyBorder="1" applyAlignment="1">
      <alignment horizontal="center" vertical="center"/>
    </xf>
    <xf numFmtId="49" fontId="4" fillId="3" borderId="0" xfId="0" applyNumberFormat="1" applyFont="1" applyFill="1" applyAlignment="1" applyProtection="1">
      <alignment horizontal="left" vertical="center"/>
      <protection locked="0"/>
    </xf>
    <xf numFmtId="0" fontId="10" fillId="3" borderId="0" xfId="0" applyFont="1" applyFill="1" applyAlignment="1">
      <alignment horizontal="center" vertical="center"/>
    </xf>
    <xf numFmtId="37" fontId="3" fillId="3" borderId="0" xfId="0" applyNumberFormat="1" applyFont="1" applyFill="1" applyAlignment="1">
      <alignment horizontal="center" vertical="center"/>
    </xf>
    <xf numFmtId="37" fontId="10" fillId="3" borderId="0" xfId="0" applyNumberFormat="1" applyFont="1" applyFill="1" applyAlignment="1">
      <alignment horizontal="center" vertical="center"/>
    </xf>
    <xf numFmtId="0" fontId="4" fillId="3" borderId="0" xfId="0" applyFont="1" applyFill="1" applyAlignment="1">
      <alignment horizontal="right" vertical="center"/>
    </xf>
    <xf numFmtId="0" fontId="3" fillId="18" borderId="0" xfId="0" applyFont="1" applyFill="1" applyAlignment="1" applyProtection="1">
      <alignment horizontal="center" vertical="center"/>
    </xf>
    <xf numFmtId="0" fontId="4" fillId="18" borderId="0" xfId="0" applyFont="1" applyFill="1" applyAlignment="1" applyProtection="1">
      <alignment horizontal="right" vertical="center"/>
    </xf>
    <xf numFmtId="0" fontId="10" fillId="0" borderId="0" xfId="0" applyFont="1" applyAlignment="1">
      <alignment horizontal="center"/>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center"/>
    </xf>
    <xf numFmtId="0" fontId="3" fillId="0" borderId="0" xfId="0" applyFont="1" applyAlignment="1">
      <alignment wrapText="1"/>
    </xf>
    <xf numFmtId="0" fontId="4" fillId="0" borderId="0" xfId="0" applyFont="1" applyAlignment="1">
      <alignment wrapText="1"/>
    </xf>
    <xf numFmtId="170" fontId="36" fillId="14" borderId="4" xfId="0" applyNumberFormat="1" applyFont="1" applyFill="1" applyBorder="1" applyAlignment="1" applyProtection="1">
      <alignment horizontal="center"/>
      <protection locked="0"/>
    </xf>
    <xf numFmtId="174" fontId="36" fillId="12" borderId="0" xfId="0" applyNumberFormat="1" applyFont="1" applyFill="1" applyBorder="1" applyAlignment="1">
      <alignment horizontal="center"/>
    </xf>
    <xf numFmtId="174" fontId="36" fillId="0" borderId="21" xfId="0" applyNumberFormat="1" applyFont="1" applyBorder="1" applyAlignment="1">
      <alignment horizontal="center"/>
    </xf>
    <xf numFmtId="173" fontId="36" fillId="12" borderId="0" xfId="0" applyNumberFormat="1" applyFont="1" applyFill="1" applyBorder="1" applyAlignment="1">
      <alignment horizontal="center"/>
    </xf>
    <xf numFmtId="0" fontId="44" fillId="12" borderId="18" xfId="0" applyFont="1" applyFill="1" applyBorder="1" applyAlignment="1">
      <alignment horizontal="center" vertical="center"/>
    </xf>
    <xf numFmtId="0" fontId="36" fillId="0" borderId="18" xfId="0" applyFont="1" applyBorder="1" applyAlignment="1">
      <alignment horizontal="center" vertical="center"/>
    </xf>
    <xf numFmtId="0" fontId="36" fillId="12" borderId="25" xfId="0" applyFont="1" applyFill="1" applyBorder="1" applyAlignment="1">
      <alignment vertical="top" wrapText="1"/>
    </xf>
    <xf numFmtId="0" fontId="36" fillId="0" borderId="0" xfId="0" applyFont="1" applyAlignment="1">
      <alignment vertical="top" wrapText="1"/>
    </xf>
    <xf numFmtId="0" fontId="36" fillId="0" borderId="21" xfId="0" applyFont="1" applyBorder="1" applyAlignment="1">
      <alignment vertical="top" wrapText="1"/>
    </xf>
    <xf numFmtId="0" fontId="36" fillId="0" borderId="21" xfId="0" applyFont="1" applyBorder="1" applyAlignment="1">
      <alignment horizontal="center"/>
    </xf>
    <xf numFmtId="173" fontId="36" fillId="14" borderId="4" xfId="0" applyNumberFormat="1" applyFont="1" applyFill="1" applyBorder="1" applyAlignment="1" applyProtection="1">
      <alignment horizontal="center"/>
      <protection locked="0"/>
    </xf>
    <xf numFmtId="0" fontId="36" fillId="12" borderId="9" xfId="0" applyFont="1" applyFill="1" applyBorder="1" applyAlignment="1">
      <alignment horizontal="center"/>
    </xf>
    <xf numFmtId="0" fontId="44" fillId="12" borderId="0" xfId="0" applyFont="1" applyFill="1" applyAlignment="1">
      <alignment horizontal="center" wrapText="1"/>
    </xf>
    <xf numFmtId="0" fontId="36" fillId="12" borderId="0" xfId="0" applyFont="1" applyFill="1" applyAlignment="1">
      <alignment wrapText="1"/>
    </xf>
    <xf numFmtId="5" fontId="36" fillId="12" borderId="4" xfId="0" applyNumberFormat="1" applyFont="1" applyFill="1" applyBorder="1" applyAlignment="1">
      <alignment horizontal="center"/>
    </xf>
    <xf numFmtId="0" fontId="36" fillId="12" borderId="0" xfId="0" applyFont="1" applyFill="1" applyBorder="1" applyAlignment="1">
      <alignment horizontal="center"/>
    </xf>
    <xf numFmtId="0" fontId="44" fillId="12" borderId="0" xfId="0" applyFont="1" applyFill="1" applyAlignment="1">
      <alignment horizontal="center"/>
    </xf>
    <xf numFmtId="0" fontId="36" fillId="0" borderId="0" xfId="0" applyFont="1" applyAlignment="1">
      <alignment wrapText="1"/>
    </xf>
    <xf numFmtId="173" fontId="36" fillId="12" borderId="0" xfId="0" applyNumberFormat="1" applyFont="1" applyFill="1" applyAlignment="1"/>
    <xf numFmtId="173" fontId="36" fillId="12" borderId="0" xfId="0" applyNumberFormat="1" applyFont="1" applyFill="1" applyAlignment="1">
      <alignment horizontal="center"/>
    </xf>
    <xf numFmtId="0" fontId="36" fillId="12" borderId="0" xfId="0" applyFont="1" applyFill="1" applyBorder="1" applyAlignment="1">
      <alignment wrapText="1"/>
    </xf>
    <xf numFmtId="0" fontId="44" fillId="12" borderId="0" xfId="0" applyFont="1" applyFill="1" applyBorder="1" applyAlignment="1">
      <alignment horizontal="center" wrapText="1"/>
    </xf>
    <xf numFmtId="0" fontId="36" fillId="0" borderId="0" xfId="0" applyFont="1" applyAlignment="1">
      <alignment horizontal="center" wrapText="1"/>
    </xf>
    <xf numFmtId="0" fontId="44" fillId="0" borderId="0" xfId="0" applyFont="1" applyAlignment="1">
      <alignment horizontal="center" wrapText="1"/>
    </xf>
    <xf numFmtId="173" fontId="36" fillId="14" borderId="20" xfId="0" applyNumberFormat="1" applyFont="1" applyFill="1" applyBorder="1" applyAlignment="1" applyProtection="1">
      <alignment horizontal="center"/>
      <protection locked="0"/>
    </xf>
    <xf numFmtId="0" fontId="36" fillId="12" borderId="0" xfId="0" applyFont="1" applyFill="1" applyBorder="1" applyAlignment="1"/>
    <xf numFmtId="0" fontId="36" fillId="0" borderId="0" xfId="0" applyFont="1" applyBorder="1" applyAlignment="1"/>
    <xf numFmtId="0" fontId="36" fillId="12" borderId="23" xfId="0" applyFont="1" applyFill="1" applyBorder="1" applyAlignment="1"/>
    <xf numFmtId="0" fontId="36" fillId="12" borderId="24" xfId="0" applyFont="1" applyFill="1" applyBorder="1" applyAlignment="1"/>
    <xf numFmtId="0" fontId="44" fillId="12" borderId="0" xfId="0" applyFont="1" applyFill="1" applyAlignment="1">
      <alignment horizontal="center" vertical="center"/>
    </xf>
    <xf numFmtId="0" fontId="44" fillId="0" borderId="0" xfId="0" applyFont="1" applyAlignment="1">
      <alignment horizontal="center" vertical="center"/>
    </xf>
  </cellXfs>
  <cellStyles count="514">
    <cellStyle name="Comma" xfId="1" builtinId="3"/>
    <cellStyle name="Comma 11 2" xfId="2" xr:uid="{00000000-0005-0000-0000-000001000000}"/>
    <cellStyle name="Comma 16" xfId="3" xr:uid="{00000000-0005-0000-0000-000002000000}"/>
    <cellStyle name="Comma 16 2" xfId="4" xr:uid="{00000000-0005-0000-0000-000003000000}"/>
    <cellStyle name="Comma 16 3" xfId="5" xr:uid="{00000000-0005-0000-0000-000004000000}"/>
    <cellStyle name="Comma 17" xfId="6" xr:uid="{00000000-0005-0000-0000-000005000000}"/>
    <cellStyle name="Comma 2 2" xfId="7" xr:uid="{00000000-0005-0000-0000-000006000000}"/>
    <cellStyle name="Comma 3 2" xfId="8" xr:uid="{00000000-0005-0000-0000-000007000000}"/>
    <cellStyle name="Comma 3 3" xfId="9" xr:uid="{00000000-0005-0000-0000-000008000000}"/>
    <cellStyle name="Comma 4 2" xfId="10" xr:uid="{00000000-0005-0000-0000-000009000000}"/>
    <cellStyle name="Comma 6 2" xfId="11" xr:uid="{00000000-0005-0000-0000-00000A000000}"/>
    <cellStyle name="Comma 7" xfId="12" xr:uid="{00000000-0005-0000-0000-00000B000000}"/>
    <cellStyle name="Comma 7 2" xfId="13" xr:uid="{00000000-0005-0000-0000-00000C000000}"/>
    <cellStyle name="Comma 7 3" xfId="14" xr:uid="{00000000-0005-0000-0000-00000D000000}"/>
    <cellStyle name="Hyperlink" xfId="15" builtinId="8"/>
    <cellStyle name="Hyperlink 16" xfId="16" xr:uid="{00000000-0005-0000-0000-00000F000000}"/>
    <cellStyle name="Hyperlink 2 2" xfId="17" xr:uid="{00000000-0005-0000-0000-000010000000}"/>
    <cellStyle name="Hyperlink 2 3" xfId="18" xr:uid="{00000000-0005-0000-0000-000011000000}"/>
    <cellStyle name="Hyperlink 3 2" xfId="19" xr:uid="{00000000-0005-0000-0000-000012000000}"/>
    <cellStyle name="Hyperlink 3 3" xfId="20" xr:uid="{00000000-0005-0000-0000-000013000000}"/>
    <cellStyle name="Hyperlink 3 4" xfId="21" xr:uid="{00000000-0005-0000-0000-000014000000}"/>
    <cellStyle name="Hyperlink 4 2" xfId="22" xr:uid="{00000000-0005-0000-0000-000015000000}"/>
    <cellStyle name="Hyperlink 7" xfId="23" xr:uid="{00000000-0005-0000-0000-000016000000}"/>
    <cellStyle name="Hyperlink 7 2" xfId="24" xr:uid="{00000000-0005-0000-0000-000017000000}"/>
    <cellStyle name="Hyperlink 7 3" xfId="25" xr:uid="{00000000-0005-0000-0000-000018000000}"/>
    <cellStyle name="Hyperlink 8" xfId="26" xr:uid="{00000000-0005-0000-0000-000019000000}"/>
    <cellStyle name="Hyperlink 8 2" xfId="27" xr:uid="{00000000-0005-0000-0000-00001A000000}"/>
    <cellStyle name="Normal" xfId="0" builtinId="0"/>
    <cellStyle name="Normal 10" xfId="28" xr:uid="{00000000-0005-0000-0000-00001C000000}"/>
    <cellStyle name="Normal 10 2" xfId="29" xr:uid="{00000000-0005-0000-0000-00001D000000}"/>
    <cellStyle name="Normal 10 2 2" xfId="30" xr:uid="{00000000-0005-0000-0000-00001E000000}"/>
    <cellStyle name="Normal 10 2 2 2" xfId="31" xr:uid="{00000000-0005-0000-0000-00001F000000}"/>
    <cellStyle name="Normal 10 2 2 3" xfId="32" xr:uid="{00000000-0005-0000-0000-000020000000}"/>
    <cellStyle name="Normal 10 2 3" xfId="33" xr:uid="{00000000-0005-0000-0000-000021000000}"/>
    <cellStyle name="Normal 10 3" xfId="34" xr:uid="{00000000-0005-0000-0000-000022000000}"/>
    <cellStyle name="Normal 10 3 2" xfId="35" xr:uid="{00000000-0005-0000-0000-000023000000}"/>
    <cellStyle name="Normal 10 3 3" xfId="36" xr:uid="{00000000-0005-0000-0000-000024000000}"/>
    <cellStyle name="Normal 10 4" xfId="37" xr:uid="{00000000-0005-0000-0000-000025000000}"/>
    <cellStyle name="Normal 10 4 2" xfId="38" xr:uid="{00000000-0005-0000-0000-000026000000}"/>
    <cellStyle name="Normal 10 4 3" xfId="39" xr:uid="{00000000-0005-0000-0000-000027000000}"/>
    <cellStyle name="Normal 10 5" xfId="40" xr:uid="{00000000-0005-0000-0000-000028000000}"/>
    <cellStyle name="Normal 10 5 2" xfId="41" xr:uid="{00000000-0005-0000-0000-000029000000}"/>
    <cellStyle name="Normal 10 5 3" xfId="42" xr:uid="{00000000-0005-0000-0000-00002A000000}"/>
    <cellStyle name="Normal 10 6" xfId="43" xr:uid="{00000000-0005-0000-0000-00002B000000}"/>
    <cellStyle name="Normal 10 6 2" xfId="44" xr:uid="{00000000-0005-0000-0000-00002C000000}"/>
    <cellStyle name="Normal 10 6 3" xfId="45" xr:uid="{00000000-0005-0000-0000-00002D000000}"/>
    <cellStyle name="Normal 10 7" xfId="46" xr:uid="{00000000-0005-0000-0000-00002E000000}"/>
    <cellStyle name="Normal 10 7 2" xfId="47" xr:uid="{00000000-0005-0000-0000-00002F000000}"/>
    <cellStyle name="Normal 10 7 3" xfId="48" xr:uid="{00000000-0005-0000-0000-000030000000}"/>
    <cellStyle name="Normal 11 2" xfId="49" xr:uid="{00000000-0005-0000-0000-000031000000}"/>
    <cellStyle name="Normal 11 2 2" xfId="50" xr:uid="{00000000-0005-0000-0000-000032000000}"/>
    <cellStyle name="Normal 11 2 3" xfId="51" xr:uid="{00000000-0005-0000-0000-000033000000}"/>
    <cellStyle name="Normal 11 3" xfId="52" xr:uid="{00000000-0005-0000-0000-000034000000}"/>
    <cellStyle name="Normal 11 4" xfId="53" xr:uid="{00000000-0005-0000-0000-000035000000}"/>
    <cellStyle name="Normal 11 5" xfId="54" xr:uid="{00000000-0005-0000-0000-000036000000}"/>
    <cellStyle name="Normal 11 5 2" xfId="55" xr:uid="{00000000-0005-0000-0000-000037000000}"/>
    <cellStyle name="Normal 11 5 3" xfId="56" xr:uid="{00000000-0005-0000-0000-000038000000}"/>
    <cellStyle name="Normal 11 6" xfId="57" xr:uid="{00000000-0005-0000-0000-000039000000}"/>
    <cellStyle name="Normal 12" xfId="58" xr:uid="{00000000-0005-0000-0000-00003A000000}"/>
    <cellStyle name="Normal 12 10" xfId="59" xr:uid="{00000000-0005-0000-0000-00003B000000}"/>
    <cellStyle name="Normal 12 11" xfId="60" xr:uid="{00000000-0005-0000-0000-00003C000000}"/>
    <cellStyle name="Normal 12 12" xfId="61" xr:uid="{00000000-0005-0000-0000-00003D000000}"/>
    <cellStyle name="Normal 12 13" xfId="62" xr:uid="{00000000-0005-0000-0000-00003E000000}"/>
    <cellStyle name="Normal 12 2" xfId="63" xr:uid="{00000000-0005-0000-0000-00003F000000}"/>
    <cellStyle name="Normal 12 2 2" xfId="64" xr:uid="{00000000-0005-0000-0000-000040000000}"/>
    <cellStyle name="Normal 12 3" xfId="65" xr:uid="{00000000-0005-0000-0000-000041000000}"/>
    <cellStyle name="Normal 12 4" xfId="66" xr:uid="{00000000-0005-0000-0000-000042000000}"/>
    <cellStyle name="Normal 12 5" xfId="67" xr:uid="{00000000-0005-0000-0000-000043000000}"/>
    <cellStyle name="Normal 12 6" xfId="68" xr:uid="{00000000-0005-0000-0000-000044000000}"/>
    <cellStyle name="Normal 12 7" xfId="69" xr:uid="{00000000-0005-0000-0000-000045000000}"/>
    <cellStyle name="Normal 12 8" xfId="70" xr:uid="{00000000-0005-0000-0000-000046000000}"/>
    <cellStyle name="Normal 12 9" xfId="71" xr:uid="{00000000-0005-0000-0000-000047000000}"/>
    <cellStyle name="Normal 13" xfId="72" xr:uid="{00000000-0005-0000-0000-000048000000}"/>
    <cellStyle name="Normal 13 10" xfId="73" xr:uid="{00000000-0005-0000-0000-000049000000}"/>
    <cellStyle name="Normal 13 11" xfId="74" xr:uid="{00000000-0005-0000-0000-00004A000000}"/>
    <cellStyle name="Normal 13 12" xfId="75" xr:uid="{00000000-0005-0000-0000-00004B000000}"/>
    <cellStyle name="Normal 13 13" xfId="76" xr:uid="{00000000-0005-0000-0000-00004C000000}"/>
    <cellStyle name="Normal 13 2" xfId="77" xr:uid="{00000000-0005-0000-0000-00004D000000}"/>
    <cellStyle name="Normal 13 2 2" xfId="78" xr:uid="{00000000-0005-0000-0000-00004E000000}"/>
    <cellStyle name="Normal 13 3" xfId="79" xr:uid="{00000000-0005-0000-0000-00004F000000}"/>
    <cellStyle name="Normal 13 4" xfId="80" xr:uid="{00000000-0005-0000-0000-000050000000}"/>
    <cellStyle name="Normal 13 5" xfId="81" xr:uid="{00000000-0005-0000-0000-000051000000}"/>
    <cellStyle name="Normal 13 6" xfId="82" xr:uid="{00000000-0005-0000-0000-000052000000}"/>
    <cellStyle name="Normal 13 7" xfId="83" xr:uid="{00000000-0005-0000-0000-000053000000}"/>
    <cellStyle name="Normal 13 8" xfId="84" xr:uid="{00000000-0005-0000-0000-000054000000}"/>
    <cellStyle name="Normal 13 9" xfId="85" xr:uid="{00000000-0005-0000-0000-000055000000}"/>
    <cellStyle name="Normal 14" xfId="86" xr:uid="{00000000-0005-0000-0000-000056000000}"/>
    <cellStyle name="Normal 14 2" xfId="87" xr:uid="{00000000-0005-0000-0000-000057000000}"/>
    <cellStyle name="Normal 14 3" xfId="88" xr:uid="{00000000-0005-0000-0000-000058000000}"/>
    <cellStyle name="Normal 14 4" xfId="89" xr:uid="{00000000-0005-0000-0000-000059000000}"/>
    <cellStyle name="Normal 14 5" xfId="90" xr:uid="{00000000-0005-0000-0000-00005A000000}"/>
    <cellStyle name="Normal 14 6" xfId="91" xr:uid="{00000000-0005-0000-0000-00005B000000}"/>
    <cellStyle name="Normal 14 7" xfId="92" xr:uid="{00000000-0005-0000-0000-00005C000000}"/>
    <cellStyle name="Normal 14 7 2" xfId="93" xr:uid="{00000000-0005-0000-0000-00005D000000}"/>
    <cellStyle name="Normal 14 7 3" xfId="94" xr:uid="{00000000-0005-0000-0000-00005E000000}"/>
    <cellStyle name="Normal 15" xfId="95" xr:uid="{00000000-0005-0000-0000-00005F000000}"/>
    <cellStyle name="Normal 15 2" xfId="96" xr:uid="{00000000-0005-0000-0000-000060000000}"/>
    <cellStyle name="Normal 15 3" xfId="97" xr:uid="{00000000-0005-0000-0000-000061000000}"/>
    <cellStyle name="Normal 15 4" xfId="98" xr:uid="{00000000-0005-0000-0000-000062000000}"/>
    <cellStyle name="Normal 15 5" xfId="99" xr:uid="{00000000-0005-0000-0000-000063000000}"/>
    <cellStyle name="Normal 16" xfId="100" xr:uid="{00000000-0005-0000-0000-000064000000}"/>
    <cellStyle name="Normal 16 2" xfId="101" xr:uid="{00000000-0005-0000-0000-000065000000}"/>
    <cellStyle name="Normal 16 3" xfId="102" xr:uid="{00000000-0005-0000-0000-000066000000}"/>
    <cellStyle name="Normal 16 4" xfId="103" xr:uid="{00000000-0005-0000-0000-000067000000}"/>
    <cellStyle name="Normal 16 5" xfId="104" xr:uid="{00000000-0005-0000-0000-000068000000}"/>
    <cellStyle name="Normal 17 2" xfId="105" xr:uid="{00000000-0005-0000-0000-000069000000}"/>
    <cellStyle name="Normal 17 3" xfId="106" xr:uid="{00000000-0005-0000-0000-00006A000000}"/>
    <cellStyle name="Normal 17 4" xfId="107" xr:uid="{00000000-0005-0000-0000-00006B000000}"/>
    <cellStyle name="Normal 17 5" xfId="108" xr:uid="{00000000-0005-0000-0000-00006C000000}"/>
    <cellStyle name="Normal 18 2" xfId="109" xr:uid="{00000000-0005-0000-0000-00006D000000}"/>
    <cellStyle name="Normal 18 2 2" xfId="110" xr:uid="{00000000-0005-0000-0000-00006E000000}"/>
    <cellStyle name="Normal 18 2 3" xfId="111" xr:uid="{00000000-0005-0000-0000-00006F000000}"/>
    <cellStyle name="Normal 18 3" xfId="112" xr:uid="{00000000-0005-0000-0000-000070000000}"/>
    <cellStyle name="Normal 18 4" xfId="113" xr:uid="{00000000-0005-0000-0000-000071000000}"/>
    <cellStyle name="Normal 18 5" xfId="114" xr:uid="{00000000-0005-0000-0000-000072000000}"/>
    <cellStyle name="Normal 18 6" xfId="115" xr:uid="{00000000-0005-0000-0000-000073000000}"/>
    <cellStyle name="Normal 18 7" xfId="116" xr:uid="{00000000-0005-0000-0000-000074000000}"/>
    <cellStyle name="Normal 18 8" xfId="117" xr:uid="{00000000-0005-0000-0000-000075000000}"/>
    <cellStyle name="Normal 18 9" xfId="118" xr:uid="{00000000-0005-0000-0000-000076000000}"/>
    <cellStyle name="Normal 19 2" xfId="119" xr:uid="{00000000-0005-0000-0000-000077000000}"/>
    <cellStyle name="Normal 19 2 2" xfId="120" xr:uid="{00000000-0005-0000-0000-000078000000}"/>
    <cellStyle name="Normal 19 2 3" xfId="121" xr:uid="{00000000-0005-0000-0000-000079000000}"/>
    <cellStyle name="Normal 19 3" xfId="122" xr:uid="{00000000-0005-0000-0000-00007A000000}"/>
    <cellStyle name="Normal 19 4" xfId="123" xr:uid="{00000000-0005-0000-0000-00007B000000}"/>
    <cellStyle name="Normal 19 5" xfId="124" xr:uid="{00000000-0005-0000-0000-00007C000000}"/>
    <cellStyle name="Normal 19 6" xfId="125" xr:uid="{00000000-0005-0000-0000-00007D000000}"/>
    <cellStyle name="Normal 19 7" xfId="126" xr:uid="{00000000-0005-0000-0000-00007E000000}"/>
    <cellStyle name="Normal 19 8" xfId="127" xr:uid="{00000000-0005-0000-0000-00007F000000}"/>
    <cellStyle name="Normal 2 10" xfId="128" xr:uid="{00000000-0005-0000-0000-000080000000}"/>
    <cellStyle name="Normal 2 10 10" xfId="129" xr:uid="{00000000-0005-0000-0000-000081000000}"/>
    <cellStyle name="Normal 2 10 11" xfId="130" xr:uid="{00000000-0005-0000-0000-000082000000}"/>
    <cellStyle name="Normal 2 10 11 2" xfId="131" xr:uid="{00000000-0005-0000-0000-000083000000}"/>
    <cellStyle name="Normal 2 10 11 2 2" xfId="132" xr:uid="{00000000-0005-0000-0000-000084000000}"/>
    <cellStyle name="Normal 2 10 11 2 2 2" xfId="133" xr:uid="{00000000-0005-0000-0000-000085000000}"/>
    <cellStyle name="Normal 2 10 11 2 2 3" xfId="134" xr:uid="{00000000-0005-0000-0000-000086000000}"/>
    <cellStyle name="Normal 2 10 11 3" xfId="135" xr:uid="{00000000-0005-0000-0000-000087000000}"/>
    <cellStyle name="Normal 2 10 11 4" xfId="136" xr:uid="{00000000-0005-0000-0000-000088000000}"/>
    <cellStyle name="Normal 2 10 11 5" xfId="137" xr:uid="{00000000-0005-0000-0000-000089000000}"/>
    <cellStyle name="Normal 2 10 12" xfId="138" xr:uid="{00000000-0005-0000-0000-00008A000000}"/>
    <cellStyle name="Normal 2 10 2" xfId="139" xr:uid="{00000000-0005-0000-0000-00008B000000}"/>
    <cellStyle name="Normal 2 10 2 2" xfId="140" xr:uid="{00000000-0005-0000-0000-00008C000000}"/>
    <cellStyle name="Normal 2 10 3" xfId="141" xr:uid="{00000000-0005-0000-0000-00008D000000}"/>
    <cellStyle name="Normal 2 10 3 2" xfId="142" xr:uid="{00000000-0005-0000-0000-00008E000000}"/>
    <cellStyle name="Normal 2 10 4" xfId="143" xr:uid="{00000000-0005-0000-0000-00008F000000}"/>
    <cellStyle name="Normal 2 10 4 2" xfId="144" xr:uid="{00000000-0005-0000-0000-000090000000}"/>
    <cellStyle name="Normal 2 10 5" xfId="145" xr:uid="{00000000-0005-0000-0000-000091000000}"/>
    <cellStyle name="Normal 2 10 5 2" xfId="146" xr:uid="{00000000-0005-0000-0000-000092000000}"/>
    <cellStyle name="Normal 2 10 6" xfId="147" xr:uid="{00000000-0005-0000-0000-000093000000}"/>
    <cellStyle name="Normal 2 10 6 2" xfId="148" xr:uid="{00000000-0005-0000-0000-000094000000}"/>
    <cellStyle name="Normal 2 10 7" xfId="149" xr:uid="{00000000-0005-0000-0000-000095000000}"/>
    <cellStyle name="Normal 2 10 7 2" xfId="150" xr:uid="{00000000-0005-0000-0000-000096000000}"/>
    <cellStyle name="Normal 2 10 8" xfId="151" xr:uid="{00000000-0005-0000-0000-000097000000}"/>
    <cellStyle name="Normal 2 10 8 2" xfId="152" xr:uid="{00000000-0005-0000-0000-000098000000}"/>
    <cellStyle name="Normal 2 10 9" xfId="153" xr:uid="{00000000-0005-0000-0000-000099000000}"/>
    <cellStyle name="Normal 2 11" xfId="154" xr:uid="{00000000-0005-0000-0000-00009A000000}"/>
    <cellStyle name="Normal 2 11 10" xfId="155" xr:uid="{00000000-0005-0000-0000-00009B000000}"/>
    <cellStyle name="Normal 2 11 11" xfId="156" xr:uid="{00000000-0005-0000-0000-00009C000000}"/>
    <cellStyle name="Normal 2 11 2" xfId="157" xr:uid="{00000000-0005-0000-0000-00009D000000}"/>
    <cellStyle name="Normal 2 11 2 2" xfId="158" xr:uid="{00000000-0005-0000-0000-00009E000000}"/>
    <cellStyle name="Normal 2 11 3" xfId="159" xr:uid="{00000000-0005-0000-0000-00009F000000}"/>
    <cellStyle name="Normal 2 11 3 2" xfId="160" xr:uid="{00000000-0005-0000-0000-0000A0000000}"/>
    <cellStyle name="Normal 2 11 4" xfId="161" xr:uid="{00000000-0005-0000-0000-0000A1000000}"/>
    <cellStyle name="Normal 2 11 4 2" xfId="162" xr:uid="{00000000-0005-0000-0000-0000A2000000}"/>
    <cellStyle name="Normal 2 11 5" xfId="163" xr:uid="{00000000-0005-0000-0000-0000A3000000}"/>
    <cellStyle name="Normal 2 11 5 2" xfId="164" xr:uid="{00000000-0005-0000-0000-0000A4000000}"/>
    <cellStyle name="Normal 2 11 6" xfId="165" xr:uid="{00000000-0005-0000-0000-0000A5000000}"/>
    <cellStyle name="Normal 2 11 6 2" xfId="166" xr:uid="{00000000-0005-0000-0000-0000A6000000}"/>
    <cellStyle name="Normal 2 11 7" xfId="167" xr:uid="{00000000-0005-0000-0000-0000A7000000}"/>
    <cellStyle name="Normal 2 11 7 2" xfId="168" xr:uid="{00000000-0005-0000-0000-0000A8000000}"/>
    <cellStyle name="Normal 2 11 8" xfId="169" xr:uid="{00000000-0005-0000-0000-0000A9000000}"/>
    <cellStyle name="Normal 2 11 8 2" xfId="170" xr:uid="{00000000-0005-0000-0000-0000AA000000}"/>
    <cellStyle name="Normal 2 11 9" xfId="171" xr:uid="{00000000-0005-0000-0000-0000AB000000}"/>
    <cellStyle name="Normal 2 12" xfId="172" xr:uid="{00000000-0005-0000-0000-0000AC000000}"/>
    <cellStyle name="Normal 2 13" xfId="173" xr:uid="{00000000-0005-0000-0000-0000AD000000}"/>
    <cellStyle name="Normal 2 14" xfId="174" xr:uid="{00000000-0005-0000-0000-0000AE000000}"/>
    <cellStyle name="Normal 2 15" xfId="175" xr:uid="{00000000-0005-0000-0000-0000AF000000}"/>
    <cellStyle name="Normal 2 16" xfId="176" xr:uid="{00000000-0005-0000-0000-0000B0000000}"/>
    <cellStyle name="Normal 2 17" xfId="177" xr:uid="{00000000-0005-0000-0000-0000B1000000}"/>
    <cellStyle name="Normal 2 17 2" xfId="178" xr:uid="{00000000-0005-0000-0000-0000B2000000}"/>
    <cellStyle name="Normal 2 17 3" xfId="179" xr:uid="{00000000-0005-0000-0000-0000B3000000}"/>
    <cellStyle name="Normal 2 2" xfId="180" xr:uid="{00000000-0005-0000-0000-0000B4000000}"/>
    <cellStyle name="Normal 2 2 10" xfId="181" xr:uid="{00000000-0005-0000-0000-0000B5000000}"/>
    <cellStyle name="Normal 2 2 10 2" xfId="182" xr:uid="{00000000-0005-0000-0000-0000B6000000}"/>
    <cellStyle name="Normal 2 2 11" xfId="183" xr:uid="{00000000-0005-0000-0000-0000B7000000}"/>
    <cellStyle name="Normal 2 2 11 2" xfId="184" xr:uid="{00000000-0005-0000-0000-0000B8000000}"/>
    <cellStyle name="Normal 2 2 12" xfId="185" xr:uid="{00000000-0005-0000-0000-0000B9000000}"/>
    <cellStyle name="Normal 2 2 12 2" xfId="186" xr:uid="{00000000-0005-0000-0000-0000BA000000}"/>
    <cellStyle name="Normal 2 2 12 2 2" xfId="187" xr:uid="{00000000-0005-0000-0000-0000BB000000}"/>
    <cellStyle name="Normal 2 2 12 2 3" xfId="188" xr:uid="{00000000-0005-0000-0000-0000BC000000}"/>
    <cellStyle name="Normal 2 2 12 2 4" xfId="189" xr:uid="{00000000-0005-0000-0000-0000BD000000}"/>
    <cellStyle name="Normal 2 2 12 3" xfId="190" xr:uid="{00000000-0005-0000-0000-0000BE000000}"/>
    <cellStyle name="Normal 2 2 12 4" xfId="191" xr:uid="{00000000-0005-0000-0000-0000BF000000}"/>
    <cellStyle name="Normal 2 2 13" xfId="192" xr:uid="{00000000-0005-0000-0000-0000C0000000}"/>
    <cellStyle name="Normal 2 2 13 2" xfId="193" xr:uid="{00000000-0005-0000-0000-0000C1000000}"/>
    <cellStyle name="Normal 2 2 13 2 2" xfId="194" xr:uid="{00000000-0005-0000-0000-0000C2000000}"/>
    <cellStyle name="Normal 2 2 13 2 3" xfId="195" xr:uid="{00000000-0005-0000-0000-0000C3000000}"/>
    <cellStyle name="Normal 2 2 13 2 4" xfId="196" xr:uid="{00000000-0005-0000-0000-0000C4000000}"/>
    <cellStyle name="Normal 2 2 13 3" xfId="197" xr:uid="{00000000-0005-0000-0000-0000C5000000}"/>
    <cellStyle name="Normal 2 2 13 4" xfId="198" xr:uid="{00000000-0005-0000-0000-0000C6000000}"/>
    <cellStyle name="Normal 2 2 14" xfId="199" xr:uid="{00000000-0005-0000-0000-0000C7000000}"/>
    <cellStyle name="Normal 2 2 14 2" xfId="200" xr:uid="{00000000-0005-0000-0000-0000C8000000}"/>
    <cellStyle name="Normal 2 2 15" xfId="201" xr:uid="{00000000-0005-0000-0000-0000C9000000}"/>
    <cellStyle name="Normal 2 2 15 2" xfId="202" xr:uid="{00000000-0005-0000-0000-0000CA000000}"/>
    <cellStyle name="Normal 2 2 16" xfId="203" xr:uid="{00000000-0005-0000-0000-0000CB000000}"/>
    <cellStyle name="Normal 2 2 16 2" xfId="204" xr:uid="{00000000-0005-0000-0000-0000CC000000}"/>
    <cellStyle name="Normal 2 2 16 3" xfId="205" xr:uid="{00000000-0005-0000-0000-0000CD000000}"/>
    <cellStyle name="Normal 2 2 17" xfId="206" xr:uid="{00000000-0005-0000-0000-0000CE000000}"/>
    <cellStyle name="Normal 2 2 18" xfId="207" xr:uid="{00000000-0005-0000-0000-0000CF000000}"/>
    <cellStyle name="Normal 2 2 19" xfId="208" xr:uid="{00000000-0005-0000-0000-0000D0000000}"/>
    <cellStyle name="Normal 2 2 2" xfId="209" xr:uid="{00000000-0005-0000-0000-0000D1000000}"/>
    <cellStyle name="Normal 2 2 2 2" xfId="210" xr:uid="{00000000-0005-0000-0000-0000D2000000}"/>
    <cellStyle name="Normal 2 2 2 2 2" xfId="211" xr:uid="{00000000-0005-0000-0000-0000D3000000}"/>
    <cellStyle name="Normal 2 2 2 2 3" xfId="212" xr:uid="{00000000-0005-0000-0000-0000D4000000}"/>
    <cellStyle name="Normal 2 2 2 2 3 2" xfId="213" xr:uid="{00000000-0005-0000-0000-0000D5000000}"/>
    <cellStyle name="Normal 2 2 2 2 3 3" xfId="214" xr:uid="{00000000-0005-0000-0000-0000D6000000}"/>
    <cellStyle name="Normal 2 2 2 3" xfId="215" xr:uid="{00000000-0005-0000-0000-0000D7000000}"/>
    <cellStyle name="Normal 2 2 2 3 2" xfId="216" xr:uid="{00000000-0005-0000-0000-0000D8000000}"/>
    <cellStyle name="Normal 2 2 2 3 3" xfId="217" xr:uid="{00000000-0005-0000-0000-0000D9000000}"/>
    <cellStyle name="Normal 2 2 2 3 4" xfId="218" xr:uid="{00000000-0005-0000-0000-0000DA000000}"/>
    <cellStyle name="Normal 2 2 2 4" xfId="219" xr:uid="{00000000-0005-0000-0000-0000DB000000}"/>
    <cellStyle name="Normal 2 2 2 4 2" xfId="220" xr:uid="{00000000-0005-0000-0000-0000DC000000}"/>
    <cellStyle name="Normal 2 2 2 5" xfId="221" xr:uid="{00000000-0005-0000-0000-0000DD000000}"/>
    <cellStyle name="Normal 2 2 2 5 2" xfId="222" xr:uid="{00000000-0005-0000-0000-0000DE000000}"/>
    <cellStyle name="Normal 2 2 2 5 3" xfId="223" xr:uid="{00000000-0005-0000-0000-0000DF000000}"/>
    <cellStyle name="Normal 2 2 2 5 4" xfId="224" xr:uid="{00000000-0005-0000-0000-0000E0000000}"/>
    <cellStyle name="Normal 2 2 2 6" xfId="225" xr:uid="{00000000-0005-0000-0000-0000E1000000}"/>
    <cellStyle name="Normal 2 2 2 6 2" xfId="226" xr:uid="{00000000-0005-0000-0000-0000E2000000}"/>
    <cellStyle name="Normal 2 2 2 7" xfId="227" xr:uid="{00000000-0005-0000-0000-0000E3000000}"/>
    <cellStyle name="Normal 2 2 2 7 2" xfId="228" xr:uid="{00000000-0005-0000-0000-0000E4000000}"/>
    <cellStyle name="Normal 2 2 2 7 3" xfId="229" xr:uid="{00000000-0005-0000-0000-0000E5000000}"/>
    <cellStyle name="Normal 2 2 2 8" xfId="230" xr:uid="{00000000-0005-0000-0000-0000E6000000}"/>
    <cellStyle name="Normal 2 2 20" xfId="231" xr:uid="{00000000-0005-0000-0000-0000E7000000}"/>
    <cellStyle name="Normal 2 2 21" xfId="232" xr:uid="{00000000-0005-0000-0000-0000E8000000}"/>
    <cellStyle name="Normal 2 2 22" xfId="233" xr:uid="{00000000-0005-0000-0000-0000E9000000}"/>
    <cellStyle name="Normal 2 2 3" xfId="234" xr:uid="{00000000-0005-0000-0000-0000EA000000}"/>
    <cellStyle name="Normal 2 2 3 2" xfId="235" xr:uid="{00000000-0005-0000-0000-0000EB000000}"/>
    <cellStyle name="Normal 2 2 4" xfId="236" xr:uid="{00000000-0005-0000-0000-0000EC000000}"/>
    <cellStyle name="Normal 2 2 4 2" xfId="237" xr:uid="{00000000-0005-0000-0000-0000ED000000}"/>
    <cellStyle name="Normal 2 2 5" xfId="238" xr:uid="{00000000-0005-0000-0000-0000EE000000}"/>
    <cellStyle name="Normal 2 2 5 2" xfId="239" xr:uid="{00000000-0005-0000-0000-0000EF000000}"/>
    <cellStyle name="Normal 2 2 6" xfId="240" xr:uid="{00000000-0005-0000-0000-0000F0000000}"/>
    <cellStyle name="Normal 2 2 6 2" xfId="241" xr:uid="{00000000-0005-0000-0000-0000F1000000}"/>
    <cellStyle name="Normal 2 2 7" xfId="242" xr:uid="{00000000-0005-0000-0000-0000F2000000}"/>
    <cellStyle name="Normal 2 2 7 2" xfId="243" xr:uid="{00000000-0005-0000-0000-0000F3000000}"/>
    <cellStyle name="Normal 2 2 8" xfId="244" xr:uid="{00000000-0005-0000-0000-0000F4000000}"/>
    <cellStyle name="Normal 2 2 8 2" xfId="245" xr:uid="{00000000-0005-0000-0000-0000F5000000}"/>
    <cellStyle name="Normal 2 2 9" xfId="246" xr:uid="{00000000-0005-0000-0000-0000F6000000}"/>
    <cellStyle name="Normal 2 2 9 2" xfId="247" xr:uid="{00000000-0005-0000-0000-0000F7000000}"/>
    <cellStyle name="Normal 2 3" xfId="248" xr:uid="{00000000-0005-0000-0000-0000F8000000}"/>
    <cellStyle name="Normal 2 3 10" xfId="249" xr:uid="{00000000-0005-0000-0000-0000F9000000}"/>
    <cellStyle name="Normal 2 3 11" xfId="250" xr:uid="{00000000-0005-0000-0000-0000FA000000}"/>
    <cellStyle name="Normal 2 3 12" xfId="251" xr:uid="{00000000-0005-0000-0000-0000FB000000}"/>
    <cellStyle name="Normal 2 3 13" xfId="252" xr:uid="{00000000-0005-0000-0000-0000FC000000}"/>
    <cellStyle name="Normal 2 3 14" xfId="253" xr:uid="{00000000-0005-0000-0000-0000FD000000}"/>
    <cellStyle name="Normal 2 3 15" xfId="254" xr:uid="{00000000-0005-0000-0000-0000FE000000}"/>
    <cellStyle name="Normal 2 3 2" xfId="255" xr:uid="{00000000-0005-0000-0000-0000FF000000}"/>
    <cellStyle name="Normal 2 3 2 2" xfId="256" xr:uid="{00000000-0005-0000-0000-000000010000}"/>
    <cellStyle name="Normal 2 3 2 2 2" xfId="257" xr:uid="{00000000-0005-0000-0000-000001010000}"/>
    <cellStyle name="Normal 2 3 2 2 3" xfId="258" xr:uid="{00000000-0005-0000-0000-000002010000}"/>
    <cellStyle name="Normal 2 3 2 3" xfId="259" xr:uid="{00000000-0005-0000-0000-000003010000}"/>
    <cellStyle name="Normal 2 3 2 4" xfId="260" xr:uid="{00000000-0005-0000-0000-000004010000}"/>
    <cellStyle name="Normal 2 3 2 5" xfId="261" xr:uid="{00000000-0005-0000-0000-000005010000}"/>
    <cellStyle name="Normal 2 3 3" xfId="262" xr:uid="{00000000-0005-0000-0000-000006010000}"/>
    <cellStyle name="Normal 2 3 3 2" xfId="263" xr:uid="{00000000-0005-0000-0000-000007010000}"/>
    <cellStyle name="Normal 2 3 3 3" xfId="264" xr:uid="{00000000-0005-0000-0000-000008010000}"/>
    <cellStyle name="Normal 2 3 4" xfId="265" xr:uid="{00000000-0005-0000-0000-000009010000}"/>
    <cellStyle name="Normal 2 3 5" xfId="266" xr:uid="{00000000-0005-0000-0000-00000A010000}"/>
    <cellStyle name="Normal 2 3 6" xfId="267" xr:uid="{00000000-0005-0000-0000-00000B010000}"/>
    <cellStyle name="Normal 2 3 7" xfId="268" xr:uid="{00000000-0005-0000-0000-00000C010000}"/>
    <cellStyle name="Normal 2 3 8" xfId="269" xr:uid="{00000000-0005-0000-0000-00000D010000}"/>
    <cellStyle name="Normal 2 3 9" xfId="270" xr:uid="{00000000-0005-0000-0000-00000E010000}"/>
    <cellStyle name="Normal 2 4" xfId="271" xr:uid="{00000000-0005-0000-0000-00000F010000}"/>
    <cellStyle name="Normal 2 4 10" xfId="272" xr:uid="{00000000-0005-0000-0000-000010010000}"/>
    <cellStyle name="Normal 2 4 11" xfId="273" xr:uid="{00000000-0005-0000-0000-000011010000}"/>
    <cellStyle name="Normal 2 4 12" xfId="274" xr:uid="{00000000-0005-0000-0000-000012010000}"/>
    <cellStyle name="Normal 2 4 12 2" xfId="275" xr:uid="{00000000-0005-0000-0000-000013010000}"/>
    <cellStyle name="Normal 2 4 12 3" xfId="276" xr:uid="{00000000-0005-0000-0000-000014010000}"/>
    <cellStyle name="Normal 2 4 13" xfId="277" xr:uid="{00000000-0005-0000-0000-000015010000}"/>
    <cellStyle name="Normal 2 4 13 2" xfId="278" xr:uid="{00000000-0005-0000-0000-000016010000}"/>
    <cellStyle name="Normal 2 4 13 3" xfId="279" xr:uid="{00000000-0005-0000-0000-000017010000}"/>
    <cellStyle name="Normal 2 4 2" xfId="280" xr:uid="{00000000-0005-0000-0000-000018010000}"/>
    <cellStyle name="Normal 2 4 2 2" xfId="281" xr:uid="{00000000-0005-0000-0000-000019010000}"/>
    <cellStyle name="Normal 2 4 2 2 2" xfId="282" xr:uid="{00000000-0005-0000-0000-00001A010000}"/>
    <cellStyle name="Normal 2 4 2 2 3" xfId="283" xr:uid="{00000000-0005-0000-0000-00001B010000}"/>
    <cellStyle name="Normal 2 4 2 3" xfId="284" xr:uid="{00000000-0005-0000-0000-00001C010000}"/>
    <cellStyle name="Normal 2 4 2 4" xfId="285" xr:uid="{00000000-0005-0000-0000-00001D010000}"/>
    <cellStyle name="Normal 2 4 2 5" xfId="286" xr:uid="{00000000-0005-0000-0000-00001E010000}"/>
    <cellStyle name="Normal 2 4 3" xfId="287" xr:uid="{00000000-0005-0000-0000-00001F010000}"/>
    <cellStyle name="Normal 2 4 3 2" xfId="288" xr:uid="{00000000-0005-0000-0000-000020010000}"/>
    <cellStyle name="Normal 2 4 3 3" xfId="289" xr:uid="{00000000-0005-0000-0000-000021010000}"/>
    <cellStyle name="Normal 2 4 4" xfId="290" xr:uid="{00000000-0005-0000-0000-000022010000}"/>
    <cellStyle name="Normal 2 4 5" xfId="291" xr:uid="{00000000-0005-0000-0000-000023010000}"/>
    <cellStyle name="Normal 2 4 6" xfId="292" xr:uid="{00000000-0005-0000-0000-000024010000}"/>
    <cellStyle name="Normal 2 4 7" xfId="293" xr:uid="{00000000-0005-0000-0000-000025010000}"/>
    <cellStyle name="Normal 2 4 8" xfId="294" xr:uid="{00000000-0005-0000-0000-000026010000}"/>
    <cellStyle name="Normal 2 4 9" xfId="295" xr:uid="{00000000-0005-0000-0000-000027010000}"/>
    <cellStyle name="Normal 2 5" xfId="296" xr:uid="{00000000-0005-0000-0000-000028010000}"/>
    <cellStyle name="Normal 2 5 10" xfId="297" xr:uid="{00000000-0005-0000-0000-000029010000}"/>
    <cellStyle name="Normal 2 5 11" xfId="298" xr:uid="{00000000-0005-0000-0000-00002A010000}"/>
    <cellStyle name="Normal 2 5 12" xfId="299" xr:uid="{00000000-0005-0000-0000-00002B010000}"/>
    <cellStyle name="Normal 2 5 12 2" xfId="300" xr:uid="{00000000-0005-0000-0000-00002C010000}"/>
    <cellStyle name="Normal 2 5 12 3" xfId="301" xr:uid="{00000000-0005-0000-0000-00002D010000}"/>
    <cellStyle name="Normal 2 5 2" xfId="302" xr:uid="{00000000-0005-0000-0000-00002E010000}"/>
    <cellStyle name="Normal 2 5 2 2" xfId="303" xr:uid="{00000000-0005-0000-0000-00002F010000}"/>
    <cellStyle name="Normal 2 5 3" xfId="304" xr:uid="{00000000-0005-0000-0000-000030010000}"/>
    <cellStyle name="Normal 2 5 3 2" xfId="305" xr:uid="{00000000-0005-0000-0000-000031010000}"/>
    <cellStyle name="Normal 2 5 4" xfId="306" xr:uid="{00000000-0005-0000-0000-000032010000}"/>
    <cellStyle name="Normal 2 5 5" xfId="307" xr:uid="{00000000-0005-0000-0000-000033010000}"/>
    <cellStyle name="Normal 2 5 6" xfId="308" xr:uid="{00000000-0005-0000-0000-000034010000}"/>
    <cellStyle name="Normal 2 5 7" xfId="309" xr:uid="{00000000-0005-0000-0000-000035010000}"/>
    <cellStyle name="Normal 2 5 8" xfId="310" xr:uid="{00000000-0005-0000-0000-000036010000}"/>
    <cellStyle name="Normal 2 5 9" xfId="311" xr:uid="{00000000-0005-0000-0000-000037010000}"/>
    <cellStyle name="Normal 2 6" xfId="312" xr:uid="{00000000-0005-0000-0000-000038010000}"/>
    <cellStyle name="Normal 2 6 10" xfId="313" xr:uid="{00000000-0005-0000-0000-000039010000}"/>
    <cellStyle name="Normal 2 6 11" xfId="314" xr:uid="{00000000-0005-0000-0000-00003A010000}"/>
    <cellStyle name="Normal 2 6 12" xfId="315" xr:uid="{00000000-0005-0000-0000-00003B010000}"/>
    <cellStyle name="Normal 2 6 2" xfId="316" xr:uid="{00000000-0005-0000-0000-00003C010000}"/>
    <cellStyle name="Normal 2 6 2 2" xfId="317" xr:uid="{00000000-0005-0000-0000-00003D010000}"/>
    <cellStyle name="Normal 2 6 3" xfId="318" xr:uid="{00000000-0005-0000-0000-00003E010000}"/>
    <cellStyle name="Normal 2 6 3 2" xfId="319" xr:uid="{00000000-0005-0000-0000-00003F010000}"/>
    <cellStyle name="Normal 2 6 4" xfId="320" xr:uid="{00000000-0005-0000-0000-000040010000}"/>
    <cellStyle name="Normal 2 6 5" xfId="321" xr:uid="{00000000-0005-0000-0000-000041010000}"/>
    <cellStyle name="Normal 2 6 6" xfId="322" xr:uid="{00000000-0005-0000-0000-000042010000}"/>
    <cellStyle name="Normal 2 6 7" xfId="323" xr:uid="{00000000-0005-0000-0000-000043010000}"/>
    <cellStyle name="Normal 2 6 8" xfId="324" xr:uid="{00000000-0005-0000-0000-000044010000}"/>
    <cellStyle name="Normal 2 6 9" xfId="325" xr:uid="{00000000-0005-0000-0000-000045010000}"/>
    <cellStyle name="Normal 2 7" xfId="326" xr:uid="{00000000-0005-0000-0000-000046010000}"/>
    <cellStyle name="Normal 2 7 10" xfId="327" xr:uid="{00000000-0005-0000-0000-000047010000}"/>
    <cellStyle name="Normal 2 7 11" xfId="328" xr:uid="{00000000-0005-0000-0000-000048010000}"/>
    <cellStyle name="Normal 2 7 2" xfId="329" xr:uid="{00000000-0005-0000-0000-000049010000}"/>
    <cellStyle name="Normal 2 7 2 2" xfId="330" xr:uid="{00000000-0005-0000-0000-00004A010000}"/>
    <cellStyle name="Normal 2 7 2 3" xfId="331" xr:uid="{00000000-0005-0000-0000-00004B010000}"/>
    <cellStyle name="Normal 2 7 3" xfId="332" xr:uid="{00000000-0005-0000-0000-00004C010000}"/>
    <cellStyle name="Normal 2 7 3 2" xfId="333" xr:uid="{00000000-0005-0000-0000-00004D010000}"/>
    <cellStyle name="Normal 2 7 4" xfId="334" xr:uid="{00000000-0005-0000-0000-00004E010000}"/>
    <cellStyle name="Normal 2 7 4 2" xfId="335" xr:uid="{00000000-0005-0000-0000-00004F010000}"/>
    <cellStyle name="Normal 2 7 5" xfId="336" xr:uid="{00000000-0005-0000-0000-000050010000}"/>
    <cellStyle name="Normal 2 7 5 2" xfId="337" xr:uid="{00000000-0005-0000-0000-000051010000}"/>
    <cellStyle name="Normal 2 7 6" xfId="338" xr:uid="{00000000-0005-0000-0000-000052010000}"/>
    <cellStyle name="Normal 2 7 6 2" xfId="339" xr:uid="{00000000-0005-0000-0000-000053010000}"/>
    <cellStyle name="Normal 2 7 7" xfId="340" xr:uid="{00000000-0005-0000-0000-000054010000}"/>
    <cellStyle name="Normal 2 7 7 2" xfId="341" xr:uid="{00000000-0005-0000-0000-000055010000}"/>
    <cellStyle name="Normal 2 7 8" xfId="342" xr:uid="{00000000-0005-0000-0000-000056010000}"/>
    <cellStyle name="Normal 2 7 8 2" xfId="343" xr:uid="{00000000-0005-0000-0000-000057010000}"/>
    <cellStyle name="Normal 2 7 9" xfId="344" xr:uid="{00000000-0005-0000-0000-000058010000}"/>
    <cellStyle name="Normal 2 8" xfId="345" xr:uid="{00000000-0005-0000-0000-000059010000}"/>
    <cellStyle name="Normal 2 8 10" xfId="346" xr:uid="{00000000-0005-0000-0000-00005A010000}"/>
    <cellStyle name="Normal 2 8 11" xfId="347" xr:uid="{00000000-0005-0000-0000-00005B010000}"/>
    <cellStyle name="Normal 2 8 2" xfId="348" xr:uid="{00000000-0005-0000-0000-00005C010000}"/>
    <cellStyle name="Normal 2 8 2 2" xfId="349" xr:uid="{00000000-0005-0000-0000-00005D010000}"/>
    <cellStyle name="Normal 2 8 3" xfId="350" xr:uid="{00000000-0005-0000-0000-00005E010000}"/>
    <cellStyle name="Normal 2 8 3 2" xfId="351" xr:uid="{00000000-0005-0000-0000-00005F010000}"/>
    <cellStyle name="Normal 2 8 4" xfId="352" xr:uid="{00000000-0005-0000-0000-000060010000}"/>
    <cellStyle name="Normal 2 8 4 2" xfId="353" xr:uid="{00000000-0005-0000-0000-000061010000}"/>
    <cellStyle name="Normal 2 8 5" xfId="354" xr:uid="{00000000-0005-0000-0000-000062010000}"/>
    <cellStyle name="Normal 2 8 5 2" xfId="355" xr:uid="{00000000-0005-0000-0000-000063010000}"/>
    <cellStyle name="Normal 2 8 6" xfId="356" xr:uid="{00000000-0005-0000-0000-000064010000}"/>
    <cellStyle name="Normal 2 8 6 2" xfId="357" xr:uid="{00000000-0005-0000-0000-000065010000}"/>
    <cellStyle name="Normal 2 8 7" xfId="358" xr:uid="{00000000-0005-0000-0000-000066010000}"/>
    <cellStyle name="Normal 2 8 7 2" xfId="359" xr:uid="{00000000-0005-0000-0000-000067010000}"/>
    <cellStyle name="Normal 2 8 8" xfId="360" xr:uid="{00000000-0005-0000-0000-000068010000}"/>
    <cellStyle name="Normal 2 8 8 2" xfId="361" xr:uid="{00000000-0005-0000-0000-000069010000}"/>
    <cellStyle name="Normal 2 8 9" xfId="362" xr:uid="{00000000-0005-0000-0000-00006A010000}"/>
    <cellStyle name="Normal 2 9" xfId="363" xr:uid="{00000000-0005-0000-0000-00006B010000}"/>
    <cellStyle name="Normal 2 9 10" xfId="364" xr:uid="{00000000-0005-0000-0000-00006C010000}"/>
    <cellStyle name="Normal 2 9 11" xfId="365" xr:uid="{00000000-0005-0000-0000-00006D010000}"/>
    <cellStyle name="Normal 2 9 2" xfId="366" xr:uid="{00000000-0005-0000-0000-00006E010000}"/>
    <cellStyle name="Normal 2 9 2 2" xfId="367" xr:uid="{00000000-0005-0000-0000-00006F010000}"/>
    <cellStyle name="Normal 2 9 3" xfId="368" xr:uid="{00000000-0005-0000-0000-000070010000}"/>
    <cellStyle name="Normal 2 9 3 2" xfId="369" xr:uid="{00000000-0005-0000-0000-000071010000}"/>
    <cellStyle name="Normal 2 9 4" xfId="370" xr:uid="{00000000-0005-0000-0000-000072010000}"/>
    <cellStyle name="Normal 2 9 4 2" xfId="371" xr:uid="{00000000-0005-0000-0000-000073010000}"/>
    <cellStyle name="Normal 2 9 5" xfId="372" xr:uid="{00000000-0005-0000-0000-000074010000}"/>
    <cellStyle name="Normal 2 9 5 2" xfId="373" xr:uid="{00000000-0005-0000-0000-000075010000}"/>
    <cellStyle name="Normal 2 9 6" xfId="374" xr:uid="{00000000-0005-0000-0000-000076010000}"/>
    <cellStyle name="Normal 2 9 6 2" xfId="375" xr:uid="{00000000-0005-0000-0000-000077010000}"/>
    <cellStyle name="Normal 2 9 7" xfId="376" xr:uid="{00000000-0005-0000-0000-000078010000}"/>
    <cellStyle name="Normal 2 9 7 2" xfId="377" xr:uid="{00000000-0005-0000-0000-000079010000}"/>
    <cellStyle name="Normal 2 9 8" xfId="378" xr:uid="{00000000-0005-0000-0000-00007A010000}"/>
    <cellStyle name="Normal 2 9 8 2" xfId="379" xr:uid="{00000000-0005-0000-0000-00007B010000}"/>
    <cellStyle name="Normal 2 9 9" xfId="380" xr:uid="{00000000-0005-0000-0000-00007C010000}"/>
    <cellStyle name="Normal 20" xfId="381" xr:uid="{00000000-0005-0000-0000-00007D010000}"/>
    <cellStyle name="Normal 20 2" xfId="382" xr:uid="{00000000-0005-0000-0000-00007E010000}"/>
    <cellStyle name="Normal 20 3" xfId="383" xr:uid="{00000000-0005-0000-0000-00007F010000}"/>
    <cellStyle name="Normal 21" xfId="384" xr:uid="{00000000-0005-0000-0000-000080010000}"/>
    <cellStyle name="Normal 21 2" xfId="385" xr:uid="{00000000-0005-0000-0000-000081010000}"/>
    <cellStyle name="Normal 21 2 2" xfId="386" xr:uid="{00000000-0005-0000-0000-000082010000}"/>
    <cellStyle name="Normal 21 2 3" xfId="387" xr:uid="{00000000-0005-0000-0000-000083010000}"/>
    <cellStyle name="Normal 21 3" xfId="388" xr:uid="{00000000-0005-0000-0000-000084010000}"/>
    <cellStyle name="Normal 21 4" xfId="389" xr:uid="{00000000-0005-0000-0000-000085010000}"/>
    <cellStyle name="Normal 21 5" xfId="390" xr:uid="{00000000-0005-0000-0000-000086010000}"/>
    <cellStyle name="Normal 22" xfId="391" xr:uid="{00000000-0005-0000-0000-000087010000}"/>
    <cellStyle name="Normal 22 2" xfId="392" xr:uid="{00000000-0005-0000-0000-000088010000}"/>
    <cellStyle name="Normal 22 3" xfId="393" xr:uid="{00000000-0005-0000-0000-000089010000}"/>
    <cellStyle name="Normal 23" xfId="394" xr:uid="{00000000-0005-0000-0000-00008A010000}"/>
    <cellStyle name="Normal 23 2" xfId="395" xr:uid="{00000000-0005-0000-0000-00008B010000}"/>
    <cellStyle name="Normal 23 3" xfId="396" xr:uid="{00000000-0005-0000-0000-00008C010000}"/>
    <cellStyle name="Normal 24" xfId="397" xr:uid="{00000000-0005-0000-0000-00008D010000}"/>
    <cellStyle name="Normal 24 2" xfId="398" xr:uid="{00000000-0005-0000-0000-00008E010000}"/>
    <cellStyle name="Normal 24 3" xfId="399" xr:uid="{00000000-0005-0000-0000-00008F010000}"/>
    <cellStyle name="Normal 25" xfId="400" xr:uid="{00000000-0005-0000-0000-000090010000}"/>
    <cellStyle name="Normal 25 2" xfId="401" xr:uid="{00000000-0005-0000-0000-000091010000}"/>
    <cellStyle name="Normal 25 3" xfId="402" xr:uid="{00000000-0005-0000-0000-000092010000}"/>
    <cellStyle name="Normal 26" xfId="403" xr:uid="{00000000-0005-0000-0000-000093010000}"/>
    <cellStyle name="Normal 27" xfId="404" xr:uid="{00000000-0005-0000-0000-000094010000}"/>
    <cellStyle name="Normal 27 2" xfId="405" xr:uid="{00000000-0005-0000-0000-000095010000}"/>
    <cellStyle name="Normal 3" xfId="406" xr:uid="{00000000-0005-0000-0000-000096010000}"/>
    <cellStyle name="Normal 3 10" xfId="407" xr:uid="{00000000-0005-0000-0000-000097010000}"/>
    <cellStyle name="Normal 3 10 2" xfId="408" xr:uid="{00000000-0005-0000-0000-000098010000}"/>
    <cellStyle name="Normal 3 11" xfId="409" xr:uid="{00000000-0005-0000-0000-000099010000}"/>
    <cellStyle name="Normal 3 12" xfId="410" xr:uid="{00000000-0005-0000-0000-00009A010000}"/>
    <cellStyle name="Normal 3 13" xfId="411" xr:uid="{00000000-0005-0000-0000-00009B010000}"/>
    <cellStyle name="Normal 3 14" xfId="412" xr:uid="{00000000-0005-0000-0000-00009C010000}"/>
    <cellStyle name="Normal 3 15" xfId="413" xr:uid="{00000000-0005-0000-0000-00009D010000}"/>
    <cellStyle name="Normal 3 2" xfId="414" xr:uid="{00000000-0005-0000-0000-00009E010000}"/>
    <cellStyle name="Normal 3 2 2" xfId="415" xr:uid="{00000000-0005-0000-0000-00009F010000}"/>
    <cellStyle name="Normal 3 2 2 2" xfId="416" xr:uid="{00000000-0005-0000-0000-0000A0010000}"/>
    <cellStyle name="Normal 3 2 2 3" xfId="417" xr:uid="{00000000-0005-0000-0000-0000A1010000}"/>
    <cellStyle name="Normal 3 2 3" xfId="418" xr:uid="{00000000-0005-0000-0000-0000A2010000}"/>
    <cellStyle name="Normal 3 2 4" xfId="419" xr:uid="{00000000-0005-0000-0000-0000A3010000}"/>
    <cellStyle name="Normal 3 2 5" xfId="420" xr:uid="{00000000-0005-0000-0000-0000A4010000}"/>
    <cellStyle name="Normal 3 3" xfId="421" xr:uid="{00000000-0005-0000-0000-0000A5010000}"/>
    <cellStyle name="Normal 3 3 2" xfId="422" xr:uid="{00000000-0005-0000-0000-0000A6010000}"/>
    <cellStyle name="Normal 3 3 2 2" xfId="423" xr:uid="{00000000-0005-0000-0000-0000A7010000}"/>
    <cellStyle name="Normal 3 3 2 3" xfId="424" xr:uid="{00000000-0005-0000-0000-0000A8010000}"/>
    <cellStyle name="Normal 3 3 3" xfId="425" xr:uid="{00000000-0005-0000-0000-0000A9010000}"/>
    <cellStyle name="Normal 3 3 4" xfId="426" xr:uid="{00000000-0005-0000-0000-0000AA010000}"/>
    <cellStyle name="Normal 3 4" xfId="427" xr:uid="{00000000-0005-0000-0000-0000AB010000}"/>
    <cellStyle name="Normal 3 5" xfId="428" xr:uid="{00000000-0005-0000-0000-0000AC010000}"/>
    <cellStyle name="Normal 3 6" xfId="429" xr:uid="{00000000-0005-0000-0000-0000AD010000}"/>
    <cellStyle name="Normal 3 7" xfId="430" xr:uid="{00000000-0005-0000-0000-0000AE010000}"/>
    <cellStyle name="Normal 3 7 2" xfId="431" xr:uid="{00000000-0005-0000-0000-0000AF010000}"/>
    <cellStyle name="Normal 3 7 3" xfId="432" xr:uid="{00000000-0005-0000-0000-0000B0010000}"/>
    <cellStyle name="Normal 3 8" xfId="433" xr:uid="{00000000-0005-0000-0000-0000B1010000}"/>
    <cellStyle name="Normal 3 8 2" xfId="434" xr:uid="{00000000-0005-0000-0000-0000B2010000}"/>
    <cellStyle name="Normal 3 8 3" xfId="435" xr:uid="{00000000-0005-0000-0000-0000B3010000}"/>
    <cellStyle name="Normal 3 9" xfId="436" xr:uid="{00000000-0005-0000-0000-0000B4010000}"/>
    <cellStyle name="Normal 3 9 2" xfId="437" xr:uid="{00000000-0005-0000-0000-0000B5010000}"/>
    <cellStyle name="Normal 3 9 3" xfId="438" xr:uid="{00000000-0005-0000-0000-0000B6010000}"/>
    <cellStyle name="Normal 4" xfId="439" xr:uid="{00000000-0005-0000-0000-0000B7010000}"/>
    <cellStyle name="Normal 4 10" xfId="440" xr:uid="{00000000-0005-0000-0000-0000B8010000}"/>
    <cellStyle name="Normal 4 11" xfId="441" xr:uid="{00000000-0005-0000-0000-0000B9010000}"/>
    <cellStyle name="Normal 4 12" xfId="442" xr:uid="{00000000-0005-0000-0000-0000BA010000}"/>
    <cellStyle name="Normal 4 13" xfId="443" xr:uid="{00000000-0005-0000-0000-0000BB010000}"/>
    <cellStyle name="Normal 4 2" xfId="444" xr:uid="{00000000-0005-0000-0000-0000BC010000}"/>
    <cellStyle name="Normal 4 2 2" xfId="445" xr:uid="{00000000-0005-0000-0000-0000BD010000}"/>
    <cellStyle name="Normal 4 2 2 2" xfId="446" xr:uid="{00000000-0005-0000-0000-0000BE010000}"/>
    <cellStyle name="Normal 4 2 2 3" xfId="447" xr:uid="{00000000-0005-0000-0000-0000BF010000}"/>
    <cellStyle name="Normal 4 2 2 3 2" xfId="448" xr:uid="{00000000-0005-0000-0000-0000C0010000}"/>
    <cellStyle name="Normal 4 2 3" xfId="449" xr:uid="{00000000-0005-0000-0000-0000C1010000}"/>
    <cellStyle name="Normal 4 2 4" xfId="450" xr:uid="{00000000-0005-0000-0000-0000C2010000}"/>
    <cellStyle name="Normal 4 2 5" xfId="451" xr:uid="{00000000-0005-0000-0000-0000C3010000}"/>
    <cellStyle name="Normal 4 3" xfId="452" xr:uid="{00000000-0005-0000-0000-0000C4010000}"/>
    <cellStyle name="Normal 4 3 2" xfId="453" xr:uid="{00000000-0005-0000-0000-0000C5010000}"/>
    <cellStyle name="Normal 4 3 3" xfId="454" xr:uid="{00000000-0005-0000-0000-0000C6010000}"/>
    <cellStyle name="Normal 4 4" xfId="455" xr:uid="{00000000-0005-0000-0000-0000C7010000}"/>
    <cellStyle name="Normal 4 5" xfId="456" xr:uid="{00000000-0005-0000-0000-0000C8010000}"/>
    <cellStyle name="Normal 4 5 2" xfId="457" xr:uid="{00000000-0005-0000-0000-0000C9010000}"/>
    <cellStyle name="Normal 4 5 3" xfId="458" xr:uid="{00000000-0005-0000-0000-0000CA010000}"/>
    <cellStyle name="Normal 4 6" xfId="459" xr:uid="{00000000-0005-0000-0000-0000CB010000}"/>
    <cellStyle name="Normal 4 6 2" xfId="460" xr:uid="{00000000-0005-0000-0000-0000CC010000}"/>
    <cellStyle name="Normal 4 6 3" xfId="461" xr:uid="{00000000-0005-0000-0000-0000CD010000}"/>
    <cellStyle name="Normal 4 7" xfId="462" xr:uid="{00000000-0005-0000-0000-0000CE010000}"/>
    <cellStyle name="Normal 4 8" xfId="463" xr:uid="{00000000-0005-0000-0000-0000CF010000}"/>
    <cellStyle name="Normal 4 9" xfId="464" xr:uid="{00000000-0005-0000-0000-0000D0010000}"/>
    <cellStyle name="Normal 5 2" xfId="465" xr:uid="{00000000-0005-0000-0000-0000D1010000}"/>
    <cellStyle name="Normal 5 3" xfId="466" xr:uid="{00000000-0005-0000-0000-0000D2010000}"/>
    <cellStyle name="Normal 5 3 2" xfId="467" xr:uid="{00000000-0005-0000-0000-0000D3010000}"/>
    <cellStyle name="Normal 5 3 3" xfId="468" xr:uid="{00000000-0005-0000-0000-0000D4010000}"/>
    <cellStyle name="Normal 5 4" xfId="469" xr:uid="{00000000-0005-0000-0000-0000D5010000}"/>
    <cellStyle name="Normal 5 5" xfId="470" xr:uid="{00000000-0005-0000-0000-0000D6010000}"/>
    <cellStyle name="Normal 5 5 2" xfId="471" xr:uid="{00000000-0005-0000-0000-0000D7010000}"/>
    <cellStyle name="Normal 5 5 3" xfId="472" xr:uid="{00000000-0005-0000-0000-0000D8010000}"/>
    <cellStyle name="Normal 5 6" xfId="473" xr:uid="{00000000-0005-0000-0000-0000D9010000}"/>
    <cellStyle name="Normal 6" xfId="474" xr:uid="{00000000-0005-0000-0000-0000DA010000}"/>
    <cellStyle name="Normal 6 2" xfId="475" xr:uid="{00000000-0005-0000-0000-0000DB010000}"/>
    <cellStyle name="Normal 6 3" xfId="476" xr:uid="{00000000-0005-0000-0000-0000DC010000}"/>
    <cellStyle name="Normal 6 4" xfId="477" xr:uid="{00000000-0005-0000-0000-0000DD010000}"/>
    <cellStyle name="Normal 6 5" xfId="478" xr:uid="{00000000-0005-0000-0000-0000DE010000}"/>
    <cellStyle name="Normal 7 2" xfId="479" xr:uid="{00000000-0005-0000-0000-0000DF010000}"/>
    <cellStyle name="Normal 7 2 2" xfId="480" xr:uid="{00000000-0005-0000-0000-0000E0010000}"/>
    <cellStyle name="Normal 7 2 2 2" xfId="481" xr:uid="{00000000-0005-0000-0000-0000E1010000}"/>
    <cellStyle name="Normal 7 2 2 3" xfId="482" xr:uid="{00000000-0005-0000-0000-0000E2010000}"/>
    <cellStyle name="Normal 7 2 3" xfId="483" xr:uid="{00000000-0005-0000-0000-0000E3010000}"/>
    <cellStyle name="Normal 7 2 4" xfId="484" xr:uid="{00000000-0005-0000-0000-0000E4010000}"/>
    <cellStyle name="Normal 7 2 4 2" xfId="485" xr:uid="{00000000-0005-0000-0000-0000E5010000}"/>
    <cellStyle name="Normal 7 2 4 3" xfId="486" xr:uid="{00000000-0005-0000-0000-0000E6010000}"/>
    <cellStyle name="Normal 7 2 5" xfId="487" xr:uid="{00000000-0005-0000-0000-0000E7010000}"/>
    <cellStyle name="Normal 7 3" xfId="488" xr:uid="{00000000-0005-0000-0000-0000E8010000}"/>
    <cellStyle name="Normal 7 4" xfId="489" xr:uid="{00000000-0005-0000-0000-0000E9010000}"/>
    <cellStyle name="Normal 7 4 2" xfId="490" xr:uid="{00000000-0005-0000-0000-0000EA010000}"/>
    <cellStyle name="Normal 7 4 3" xfId="491" xr:uid="{00000000-0005-0000-0000-0000EB010000}"/>
    <cellStyle name="Normal 7 5" xfId="492" xr:uid="{00000000-0005-0000-0000-0000EC010000}"/>
    <cellStyle name="Normal 7 5 2" xfId="493" xr:uid="{00000000-0005-0000-0000-0000ED010000}"/>
    <cellStyle name="Normal 7 5 3" xfId="494" xr:uid="{00000000-0005-0000-0000-0000EE010000}"/>
    <cellStyle name="Normal 7 5 4" xfId="495" xr:uid="{00000000-0005-0000-0000-0000EF010000}"/>
    <cellStyle name="Normal 7 5 5" xfId="496" xr:uid="{00000000-0005-0000-0000-0000F0010000}"/>
    <cellStyle name="Normal 7 6" xfId="497" xr:uid="{00000000-0005-0000-0000-0000F1010000}"/>
    <cellStyle name="Normal 7 7" xfId="498" xr:uid="{00000000-0005-0000-0000-0000F2010000}"/>
    <cellStyle name="Normal 8 2" xfId="499" xr:uid="{00000000-0005-0000-0000-0000F3010000}"/>
    <cellStyle name="Normal 8 3" xfId="500" xr:uid="{00000000-0005-0000-0000-0000F4010000}"/>
    <cellStyle name="Normal 9 2" xfId="501" xr:uid="{00000000-0005-0000-0000-0000F5010000}"/>
    <cellStyle name="Normal 9 2 2" xfId="502" xr:uid="{00000000-0005-0000-0000-0000F6010000}"/>
    <cellStyle name="Normal 9 2 3" xfId="503" xr:uid="{00000000-0005-0000-0000-0000F7010000}"/>
    <cellStyle name="Normal 9 3" xfId="504" xr:uid="{00000000-0005-0000-0000-0000F8010000}"/>
    <cellStyle name="Normal 9 4" xfId="505" xr:uid="{00000000-0005-0000-0000-0000F9010000}"/>
    <cellStyle name="Normal 9 5" xfId="506" xr:uid="{00000000-0005-0000-0000-0000FA010000}"/>
    <cellStyle name="Normal 9 5 2" xfId="507" xr:uid="{00000000-0005-0000-0000-0000FB010000}"/>
    <cellStyle name="Normal 9 5 3" xfId="508" xr:uid="{00000000-0005-0000-0000-0000FC010000}"/>
    <cellStyle name="Normal 9 6" xfId="509" xr:uid="{00000000-0005-0000-0000-0000FD010000}"/>
    <cellStyle name="Normal 9 6 2" xfId="510" xr:uid="{00000000-0005-0000-0000-0000FE010000}"/>
    <cellStyle name="Normal 9 6 3" xfId="511" xr:uid="{00000000-0005-0000-0000-0000FF010000}"/>
    <cellStyle name="Normal_debt" xfId="512" xr:uid="{00000000-0005-0000-0000-000000020000}"/>
    <cellStyle name="Normal_lpform" xfId="513" xr:uid="{00000000-0005-0000-0000-000001020000}"/>
  </cellStyles>
  <dxfs count="265">
    <dxf>
      <font>
        <b/>
        <i val="0"/>
        <strike val="0"/>
      </font>
      <fill>
        <patternFill>
          <bgColor rgb="FFFF0000"/>
        </patternFill>
      </fill>
    </dxf>
    <dxf>
      <font>
        <b/>
        <i val="0"/>
        <strike val="0"/>
      </font>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ont>
        <b/>
        <i val="0"/>
        <strike val="0"/>
        <condense val="0"/>
        <extend val="0"/>
      </font>
      <fill>
        <patternFill>
          <bgColor indexed="10"/>
        </patternFill>
      </fill>
    </dxf>
    <dxf>
      <font>
        <b/>
        <i val="0"/>
        <strike val="0"/>
        <condense val="0"/>
        <extend val="0"/>
      </font>
      <fill>
        <patternFill>
          <bgColor indexed="10"/>
        </patternFill>
      </fill>
    </dxf>
    <dxf>
      <font>
        <b/>
        <i val="0"/>
        <strike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strike val="0"/>
        <u val="none"/>
        <color auto="1"/>
      </font>
      <fill>
        <patternFill patternType="solid">
          <fgColor rgb="FFFF0000"/>
          <bgColor rgb="FFFF000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28575</xdr:rowOff>
    </xdr:from>
    <xdr:to>
      <xdr:col>1</xdr:col>
      <xdr:colOff>209550</xdr:colOff>
      <xdr:row>18</xdr:row>
      <xdr:rowOff>180975</xdr:rowOff>
    </xdr:to>
    <xdr:sp macro="" textlink="">
      <xdr:nvSpPr>
        <xdr:cNvPr id="2" name="Text Box 2">
          <a:extLst>
            <a:ext uri="{FF2B5EF4-FFF2-40B4-BE49-F238E27FC236}">
              <a16:creationId xmlns:a16="http://schemas.microsoft.com/office/drawing/2014/main" id="{F5773CD6-9ECE-4FA6-8E00-5E251F27878D}"/>
            </a:ext>
          </a:extLst>
        </xdr:cNvPr>
        <xdr:cNvSpPr txBox="1"/>
      </xdr:nvSpPr>
      <xdr:spPr>
        <a:xfrm>
          <a:off x="104775" y="5695950"/>
          <a:ext cx="209550" cy="152400"/>
        </a:xfrm>
        <a:prstGeom prst="rect">
          <a:avLst/>
        </a:prstGeom>
        <a:solidFill>
          <a:srgbClr val="00FF00"/>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0</xdr:colOff>
      <xdr:row>20</xdr:row>
      <xdr:rowOff>57150</xdr:rowOff>
    </xdr:from>
    <xdr:to>
      <xdr:col>1</xdr:col>
      <xdr:colOff>209550</xdr:colOff>
      <xdr:row>20</xdr:row>
      <xdr:rowOff>209550</xdr:rowOff>
    </xdr:to>
    <xdr:sp macro="" textlink="">
      <xdr:nvSpPr>
        <xdr:cNvPr id="3" name="Text Box 5">
          <a:extLst>
            <a:ext uri="{FF2B5EF4-FFF2-40B4-BE49-F238E27FC236}">
              <a16:creationId xmlns:a16="http://schemas.microsoft.com/office/drawing/2014/main" id="{EF340006-B1CD-4DE8-89F3-262639B99592}"/>
            </a:ext>
          </a:extLst>
        </xdr:cNvPr>
        <xdr:cNvSpPr txBox="1">
          <a:spLocks noChangeArrowheads="1"/>
        </xdr:cNvSpPr>
      </xdr:nvSpPr>
      <xdr:spPr bwMode="auto">
        <a:xfrm>
          <a:off x="104775" y="6086475"/>
          <a:ext cx="209550" cy="152400"/>
        </a:xfrm>
        <a:prstGeom prst="rect">
          <a:avLst/>
        </a:prstGeom>
        <a:solidFill>
          <a:srgbClr val="FFF2CC"/>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cs typeface="Calibri"/>
            </a:rPr>
            <a:t> </a:t>
          </a:r>
        </a:p>
      </xdr:txBody>
    </xdr:sp>
    <xdr:clientData/>
  </xdr:twoCellAnchor>
  <xdr:twoCellAnchor>
    <xdr:from>
      <xdr:col>1</xdr:col>
      <xdr:colOff>0</xdr:colOff>
      <xdr:row>22</xdr:row>
      <xdr:rowOff>38100</xdr:rowOff>
    </xdr:from>
    <xdr:to>
      <xdr:col>1</xdr:col>
      <xdr:colOff>209550</xdr:colOff>
      <xdr:row>22</xdr:row>
      <xdr:rowOff>190500</xdr:rowOff>
    </xdr:to>
    <xdr:sp macro="" textlink="">
      <xdr:nvSpPr>
        <xdr:cNvPr id="4" name="Text Box 6">
          <a:extLst>
            <a:ext uri="{FF2B5EF4-FFF2-40B4-BE49-F238E27FC236}">
              <a16:creationId xmlns:a16="http://schemas.microsoft.com/office/drawing/2014/main" id="{7EAFAD3B-B266-4D3C-B86B-DF15F2EB96A7}"/>
            </a:ext>
          </a:extLst>
        </xdr:cNvPr>
        <xdr:cNvSpPr txBox="1"/>
      </xdr:nvSpPr>
      <xdr:spPr>
        <a:xfrm>
          <a:off x="104775" y="7086600"/>
          <a:ext cx="209550" cy="152400"/>
        </a:xfrm>
        <a:prstGeom prst="rect">
          <a:avLst/>
        </a:prstGeom>
        <a:solidFill>
          <a:srgbClr val="00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0</xdr:colOff>
      <xdr:row>24</xdr:row>
      <xdr:rowOff>38100</xdr:rowOff>
    </xdr:from>
    <xdr:to>
      <xdr:col>1</xdr:col>
      <xdr:colOff>209550</xdr:colOff>
      <xdr:row>24</xdr:row>
      <xdr:rowOff>190500</xdr:rowOff>
    </xdr:to>
    <xdr:sp macro="" textlink="">
      <xdr:nvSpPr>
        <xdr:cNvPr id="5" name="Text Box 7">
          <a:extLst>
            <a:ext uri="{FF2B5EF4-FFF2-40B4-BE49-F238E27FC236}">
              <a16:creationId xmlns:a16="http://schemas.microsoft.com/office/drawing/2014/main" id="{2870B0F5-0470-4CF6-95BA-001F3F720B00}"/>
            </a:ext>
          </a:extLst>
        </xdr:cNvPr>
        <xdr:cNvSpPr txBox="1"/>
      </xdr:nvSpPr>
      <xdr:spPr>
        <a:xfrm>
          <a:off x="104775" y="7448550"/>
          <a:ext cx="209550" cy="152400"/>
        </a:xfrm>
        <a:prstGeom prst="rect">
          <a:avLst/>
        </a:prstGeom>
        <a:solidFill>
          <a:srgbClr val="FF0000"/>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alice.smith@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pooledmoneyinvestmentboard.com/"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CF990-51EB-428C-BB1D-16A8B7F03A40}">
  <sheetPr>
    <tabColor theme="5"/>
  </sheetPr>
  <dimension ref="B1:B109"/>
  <sheetViews>
    <sheetView topLeftCell="A7" zoomScaleNormal="100" workbookViewId="0">
      <selection activeCell="C1" sqref="C1"/>
    </sheetView>
  </sheetViews>
  <sheetFormatPr defaultRowHeight="15.75" x14ac:dyDescent="0.2"/>
  <cols>
    <col min="1" max="1" width="1.21875" style="2" customWidth="1"/>
    <col min="2" max="2" width="84.6640625" style="4" customWidth="1"/>
    <col min="3" max="16384" width="8.88671875" style="2"/>
  </cols>
  <sheetData>
    <row r="1" spans="2:2" ht="39" customHeight="1" x14ac:dyDescent="0.2">
      <c r="B1" s="733" t="s">
        <v>873</v>
      </c>
    </row>
    <row r="2" spans="2:2" ht="12.95" customHeight="1" x14ac:dyDescent="0.2"/>
    <row r="3" spans="2:2" ht="34.5" customHeight="1" x14ac:dyDescent="0.2">
      <c r="B3" s="4" t="s">
        <v>874</v>
      </c>
    </row>
    <row r="4" spans="2:2" ht="12.95" customHeight="1" x14ac:dyDescent="0.2"/>
    <row r="5" spans="2:2" ht="66" customHeight="1" x14ac:dyDescent="0.2">
      <c r="B5" s="4" t="s">
        <v>875</v>
      </c>
    </row>
    <row r="6" spans="2:2" ht="14.45" customHeight="1" x14ac:dyDescent="0.2"/>
    <row r="7" spans="2:2" ht="25.5" customHeight="1" x14ac:dyDescent="0.2">
      <c r="B7" s="734" t="s">
        <v>876</v>
      </c>
    </row>
    <row r="8" spans="2:2" ht="12.95" customHeight="1" x14ac:dyDescent="0.2"/>
    <row r="9" spans="2:2" ht="50.25" x14ac:dyDescent="0.2">
      <c r="B9" s="4" t="s">
        <v>877</v>
      </c>
    </row>
    <row r="10" spans="2:2" ht="12.95" customHeight="1" x14ac:dyDescent="0.2"/>
    <row r="11" spans="2:2" ht="31.5" x14ac:dyDescent="0.2">
      <c r="B11" s="4" t="s">
        <v>878</v>
      </c>
    </row>
    <row r="12" spans="2:2" ht="15" customHeight="1" x14ac:dyDescent="0.2"/>
    <row r="13" spans="2:2" ht="25.5" customHeight="1" x14ac:dyDescent="0.2">
      <c r="B13" s="734" t="s">
        <v>879</v>
      </c>
    </row>
    <row r="14" spans="2:2" ht="12.95" customHeight="1" x14ac:dyDescent="0.2"/>
    <row r="15" spans="2:2" ht="39.75" customHeight="1" x14ac:dyDescent="0.2">
      <c r="B15" s="4" t="s">
        <v>880</v>
      </c>
    </row>
    <row r="16" spans="2:2" ht="12.95" customHeight="1" x14ac:dyDescent="0.2"/>
    <row r="17" spans="2:2" x14ac:dyDescent="0.2">
      <c r="B17" s="735" t="s">
        <v>881</v>
      </c>
    </row>
    <row r="18" spans="2:2" ht="12.95" customHeight="1" x14ac:dyDescent="0.2">
      <c r="B18" s="735"/>
    </row>
    <row r="19" spans="2:2" x14ac:dyDescent="0.2">
      <c r="B19" s="4" t="s">
        <v>882</v>
      </c>
    </row>
    <row r="20" spans="2:2" ht="12.95" customHeight="1" x14ac:dyDescent="0.2"/>
    <row r="21" spans="2:2" ht="67.5" customHeight="1" x14ac:dyDescent="0.2">
      <c r="B21" s="4" t="s">
        <v>883</v>
      </c>
    </row>
    <row r="22" spans="2:2" ht="12.95" customHeight="1" x14ac:dyDescent="0.2">
      <c r="B22" s="736"/>
    </row>
    <row r="23" spans="2:2" ht="15.75" customHeight="1" x14ac:dyDescent="0.2">
      <c r="B23" s="4" t="s">
        <v>884</v>
      </c>
    </row>
    <row r="24" spans="2:2" ht="12.95" customHeight="1" x14ac:dyDescent="0.2">
      <c r="B24" s="736"/>
    </row>
    <row r="25" spans="2:2" ht="15.75" customHeight="1" x14ac:dyDescent="0.2">
      <c r="B25" s="4" t="s">
        <v>885</v>
      </c>
    </row>
    <row r="26" spans="2:2" ht="12.95" customHeight="1" x14ac:dyDescent="0.2"/>
    <row r="27" spans="2:2" ht="49.5" customHeight="1" x14ac:dyDescent="0.2">
      <c r="B27" s="4" t="s">
        <v>886</v>
      </c>
    </row>
    <row r="28" spans="2:2" ht="12.95" customHeight="1" x14ac:dyDescent="0.2"/>
    <row r="29" spans="2:2" ht="25.5" customHeight="1" x14ac:dyDescent="0.2">
      <c r="B29" s="734" t="s">
        <v>887</v>
      </c>
    </row>
    <row r="30" spans="2:2" ht="12.95" customHeight="1" x14ac:dyDescent="0.2">
      <c r="B30" s="737"/>
    </row>
    <row r="31" spans="2:2" ht="50.25" customHeight="1" x14ac:dyDescent="0.2">
      <c r="B31" s="4" t="s">
        <v>888</v>
      </c>
    </row>
    <row r="32" spans="2:2" ht="12.95" customHeight="1" x14ac:dyDescent="0.2"/>
    <row r="33" spans="2:2" ht="49.5" customHeight="1" x14ac:dyDescent="0.2">
      <c r="B33" s="738" t="s">
        <v>889</v>
      </c>
    </row>
    <row r="34" spans="2:2" ht="39.75" customHeight="1" x14ac:dyDescent="0.2">
      <c r="B34" s="739" t="s">
        <v>890</v>
      </c>
    </row>
    <row r="35" spans="2:2" ht="60.75" customHeight="1" x14ac:dyDescent="0.2">
      <c r="B35" s="739" t="s">
        <v>891</v>
      </c>
    </row>
    <row r="36" spans="2:2" ht="61.5" customHeight="1" x14ac:dyDescent="0.2">
      <c r="B36" s="739" t="s">
        <v>892</v>
      </c>
    </row>
    <row r="37" spans="2:2" ht="41.25" customHeight="1" x14ac:dyDescent="0.2">
      <c r="B37" s="739" t="s">
        <v>893</v>
      </c>
    </row>
    <row r="38" spans="2:2" ht="12.95" customHeight="1" x14ac:dyDescent="0.2"/>
    <row r="39" spans="2:2" ht="52.5" customHeight="1" x14ac:dyDescent="0.2">
      <c r="B39" s="738" t="s">
        <v>894</v>
      </c>
    </row>
    <row r="40" spans="2:2" ht="27.75" customHeight="1" x14ac:dyDescent="0.2">
      <c r="B40" s="739" t="s">
        <v>895</v>
      </c>
    </row>
    <row r="41" spans="2:2" ht="57" customHeight="1" x14ac:dyDescent="0.2">
      <c r="B41" s="739" t="s">
        <v>896</v>
      </c>
    </row>
    <row r="42" spans="2:2" ht="105" customHeight="1" x14ac:dyDescent="0.2">
      <c r="B42" s="739" t="s">
        <v>897</v>
      </c>
    </row>
    <row r="43" spans="2:2" s="4" customFormat="1" ht="12.95" customHeight="1" x14ac:dyDescent="0.2"/>
    <row r="44" spans="2:2" ht="47.25" x14ac:dyDescent="0.2">
      <c r="B44" s="738" t="s">
        <v>898</v>
      </c>
    </row>
    <row r="45" spans="2:2" ht="66.75" customHeight="1" x14ac:dyDescent="0.2">
      <c r="B45" s="738" t="s">
        <v>899</v>
      </c>
    </row>
    <row r="46" spans="2:2" ht="72.75" customHeight="1" x14ac:dyDescent="0.2">
      <c r="B46" s="739" t="s">
        <v>900</v>
      </c>
    </row>
    <row r="47" spans="2:2" ht="108" customHeight="1" x14ac:dyDescent="0.2">
      <c r="B47" s="739" t="s">
        <v>901</v>
      </c>
    </row>
    <row r="48" spans="2:2" ht="95.25" customHeight="1" x14ac:dyDescent="0.2">
      <c r="B48" s="739" t="s">
        <v>902</v>
      </c>
    </row>
    <row r="49" spans="2:2" ht="12.95" customHeight="1" x14ac:dyDescent="0.2"/>
    <row r="50" spans="2:2" ht="47.25" x14ac:dyDescent="0.2">
      <c r="B50" s="738" t="s">
        <v>903</v>
      </c>
    </row>
    <row r="51" spans="2:2" ht="38.25" customHeight="1" x14ac:dyDescent="0.2">
      <c r="B51" s="739" t="s">
        <v>904</v>
      </c>
    </row>
    <row r="52" spans="2:2" ht="34.5" customHeight="1" x14ac:dyDescent="0.2">
      <c r="B52" s="739" t="s">
        <v>905</v>
      </c>
    </row>
    <row r="53" spans="2:2" ht="12.95" customHeight="1" x14ac:dyDescent="0.2"/>
    <row r="54" spans="2:2" ht="71.25" customHeight="1" x14ac:dyDescent="0.2">
      <c r="B54" s="738" t="s">
        <v>906</v>
      </c>
    </row>
    <row r="55" spans="2:2" ht="21.75" customHeight="1" x14ac:dyDescent="0.2">
      <c r="B55" s="739" t="s">
        <v>907</v>
      </c>
    </row>
    <row r="56" spans="2:2" ht="12.95" customHeight="1" x14ac:dyDescent="0.2">
      <c r="B56" s="740"/>
    </row>
    <row r="57" spans="2:2" ht="57.75" customHeight="1" x14ac:dyDescent="0.2">
      <c r="B57" s="738" t="s">
        <v>908</v>
      </c>
    </row>
    <row r="58" spans="2:2" ht="41.25" customHeight="1" x14ac:dyDescent="0.2">
      <c r="B58" s="739" t="s">
        <v>909</v>
      </c>
    </row>
    <row r="59" spans="2:2" ht="72" customHeight="1" x14ac:dyDescent="0.2">
      <c r="B59" s="739" t="s">
        <v>910</v>
      </c>
    </row>
    <row r="60" spans="2:2" ht="27" customHeight="1" x14ac:dyDescent="0.2">
      <c r="B60" s="739" t="s">
        <v>911</v>
      </c>
    </row>
    <row r="61" spans="2:2" ht="44.25" customHeight="1" x14ac:dyDescent="0.2">
      <c r="B61" s="739" t="s">
        <v>912</v>
      </c>
    </row>
    <row r="62" spans="2:2" ht="12.95" customHeight="1" x14ac:dyDescent="0.2"/>
    <row r="63" spans="2:2" ht="38.25" customHeight="1" x14ac:dyDescent="0.2">
      <c r="B63" s="738" t="s">
        <v>913</v>
      </c>
    </row>
    <row r="64" spans="2:2" s="741" customFormat="1" ht="30.75" customHeight="1" x14ac:dyDescent="0.2">
      <c r="B64" s="739" t="s">
        <v>914</v>
      </c>
    </row>
    <row r="65" spans="2:2" ht="12.95" customHeight="1" x14ac:dyDescent="0.2"/>
    <row r="66" spans="2:2" ht="52.5" customHeight="1" x14ac:dyDescent="0.2">
      <c r="B66" s="738" t="s">
        <v>915</v>
      </c>
    </row>
    <row r="67" spans="2:2" s="741" customFormat="1" ht="39.75" customHeight="1" x14ac:dyDescent="0.2">
      <c r="B67" s="739" t="s">
        <v>916</v>
      </c>
    </row>
    <row r="68" spans="2:2" ht="12.95" customHeight="1" x14ac:dyDescent="0.2"/>
    <row r="69" spans="2:2" ht="68.25" customHeight="1" x14ac:dyDescent="0.2">
      <c r="B69" s="738" t="s">
        <v>917</v>
      </c>
    </row>
    <row r="70" spans="2:2" ht="57" customHeight="1" x14ac:dyDescent="0.2">
      <c r="B70" s="739" t="s">
        <v>918</v>
      </c>
    </row>
    <row r="71" spans="2:2" ht="44.25" customHeight="1" x14ac:dyDescent="0.2">
      <c r="B71" s="739" t="s">
        <v>919</v>
      </c>
    </row>
    <row r="72" spans="2:2" ht="12.95" customHeight="1" x14ac:dyDescent="0.2"/>
    <row r="73" spans="2:2" ht="78.75" x14ac:dyDescent="0.2">
      <c r="B73" s="738" t="s">
        <v>920</v>
      </c>
    </row>
    <row r="74" spans="2:2" ht="72.75" customHeight="1" x14ac:dyDescent="0.2">
      <c r="B74" s="739" t="s">
        <v>921</v>
      </c>
    </row>
    <row r="75" spans="2:2" ht="90" customHeight="1" x14ac:dyDescent="0.2">
      <c r="B75" s="739" t="s">
        <v>922</v>
      </c>
    </row>
    <row r="76" spans="2:2" ht="70.5" customHeight="1" x14ac:dyDescent="0.2">
      <c r="B76" s="739" t="s">
        <v>923</v>
      </c>
    </row>
    <row r="77" spans="2:2" ht="87" customHeight="1" x14ac:dyDescent="0.2">
      <c r="B77" s="739" t="s">
        <v>924</v>
      </c>
    </row>
    <row r="78" spans="2:2" ht="110.25" x14ac:dyDescent="0.2">
      <c r="B78" s="739" t="s">
        <v>925</v>
      </c>
    </row>
    <row r="79" spans="2:2" ht="55.5" customHeight="1" x14ac:dyDescent="0.2">
      <c r="B79" s="739" t="s">
        <v>926</v>
      </c>
    </row>
    <row r="80" spans="2:2" ht="96.75" customHeight="1" x14ac:dyDescent="0.2">
      <c r="B80" s="739" t="s">
        <v>927</v>
      </c>
    </row>
    <row r="81" spans="2:2" ht="111.75" customHeight="1" x14ac:dyDescent="0.2">
      <c r="B81" s="739" t="s">
        <v>928</v>
      </c>
    </row>
    <row r="82" spans="2:2" ht="123.75" customHeight="1" x14ac:dyDescent="0.2">
      <c r="B82" s="739" t="s">
        <v>929</v>
      </c>
    </row>
    <row r="83" spans="2:2" ht="26.25" customHeight="1" x14ac:dyDescent="0.2">
      <c r="B83" s="739" t="s">
        <v>930</v>
      </c>
    </row>
    <row r="84" spans="2:2" ht="57.75" customHeight="1" x14ac:dyDescent="0.2">
      <c r="B84" s="739" t="s">
        <v>931</v>
      </c>
    </row>
    <row r="85" spans="2:2" ht="57.75" customHeight="1" x14ac:dyDescent="0.2">
      <c r="B85" s="739" t="s">
        <v>932</v>
      </c>
    </row>
    <row r="86" spans="2:2" ht="91.5" customHeight="1" x14ac:dyDescent="0.2">
      <c r="B86" s="739" t="s">
        <v>933</v>
      </c>
    </row>
    <row r="87" spans="2:2" ht="75" customHeight="1" x14ac:dyDescent="0.2">
      <c r="B87" s="739" t="s">
        <v>934</v>
      </c>
    </row>
    <row r="88" spans="2:2" ht="69" customHeight="1" x14ac:dyDescent="0.2">
      <c r="B88" s="739" t="s">
        <v>935</v>
      </c>
    </row>
    <row r="89" spans="2:2" ht="39" customHeight="1" x14ac:dyDescent="0.2">
      <c r="B89" s="739" t="s">
        <v>936</v>
      </c>
    </row>
    <row r="90" spans="2:2" ht="12.95" customHeight="1" x14ac:dyDescent="0.2"/>
    <row r="91" spans="2:2" ht="63" x14ac:dyDescent="0.2">
      <c r="B91" s="738" t="s">
        <v>937</v>
      </c>
    </row>
    <row r="92" spans="2:2" ht="75.75" customHeight="1" x14ac:dyDescent="0.2">
      <c r="B92" s="739" t="s">
        <v>938</v>
      </c>
    </row>
    <row r="93" spans="2:2" ht="23.25" customHeight="1" x14ac:dyDescent="0.2">
      <c r="B93" s="739" t="s">
        <v>939</v>
      </c>
    </row>
    <row r="94" spans="2:2" ht="27" customHeight="1" x14ac:dyDescent="0.2">
      <c r="B94" s="739" t="s">
        <v>940</v>
      </c>
    </row>
    <row r="95" spans="2:2" ht="42" customHeight="1" x14ac:dyDescent="0.2">
      <c r="B95" s="742" t="s">
        <v>941</v>
      </c>
    </row>
    <row r="96" spans="2:2" ht="108" customHeight="1" x14ac:dyDescent="0.2">
      <c r="B96" s="742" t="s">
        <v>942</v>
      </c>
    </row>
    <row r="97" spans="2:2" ht="88.5" customHeight="1" x14ac:dyDescent="0.2">
      <c r="B97" s="742" t="s">
        <v>943</v>
      </c>
    </row>
    <row r="98" spans="2:2" ht="98.25" customHeight="1" x14ac:dyDescent="0.2">
      <c r="B98" s="739" t="s">
        <v>944</v>
      </c>
    </row>
    <row r="99" spans="2:2" ht="68.25" customHeight="1" x14ac:dyDescent="0.2">
      <c r="B99" s="739" t="s">
        <v>945</v>
      </c>
    </row>
    <row r="100" spans="2:2" ht="12.95" customHeight="1" x14ac:dyDescent="0.2"/>
    <row r="101" spans="2:2" ht="94.5" x14ac:dyDescent="0.2">
      <c r="B101" s="738" t="s">
        <v>946</v>
      </c>
    </row>
    <row r="102" spans="2:2" ht="78.75" x14ac:dyDescent="0.2">
      <c r="B102" s="743" t="s">
        <v>947</v>
      </c>
    </row>
    <row r="103" spans="2:2" ht="63" x14ac:dyDescent="0.2">
      <c r="B103" s="739" t="s">
        <v>948</v>
      </c>
    </row>
    <row r="104" spans="2:2" ht="39.75" customHeight="1" x14ac:dyDescent="0.2">
      <c r="B104" s="739" t="s">
        <v>949</v>
      </c>
    </row>
    <row r="105" spans="2:2" ht="12.95" customHeight="1" x14ac:dyDescent="0.2">
      <c r="B105" s="2"/>
    </row>
    <row r="106" spans="2:2" ht="47.25" x14ac:dyDescent="0.2">
      <c r="B106" s="738" t="s">
        <v>950</v>
      </c>
    </row>
    <row r="107" spans="2:2" ht="12.95" customHeight="1" x14ac:dyDescent="0.2">
      <c r="B107" s="2"/>
    </row>
    <row r="108" spans="2:2" ht="47.25" x14ac:dyDescent="0.2">
      <c r="B108" s="738" t="s">
        <v>951</v>
      </c>
    </row>
    <row r="109" spans="2:2" x14ac:dyDescent="0.2">
      <c r="B109" s="2"/>
    </row>
  </sheetData>
  <sheetProtection sheet="1" objects="1" scenarios="1"/>
  <pageMargins left="0.5" right="0.5" top="0.25" bottom="0.5" header="0.5" footer="0.25"/>
  <pageSetup scale="85" fitToHeight="2"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00B0F0"/>
    <pageSetUpPr fitToPage="1"/>
  </sheetPr>
  <dimension ref="B1:AC48"/>
  <sheetViews>
    <sheetView zoomScale="75" workbookViewId="0">
      <selection activeCell="M10" sqref="M10"/>
    </sheetView>
  </sheetViews>
  <sheetFormatPr defaultRowHeight="15.75" x14ac:dyDescent="0.2"/>
  <cols>
    <col min="1" max="1" width="4.5546875" style="7" customWidth="1"/>
    <col min="2" max="2" width="20.77734375" style="7" customWidth="1"/>
    <col min="3" max="3" width="9.33203125" style="7" customWidth="1"/>
    <col min="4" max="4" width="9.109375" style="7" customWidth="1"/>
    <col min="5" max="5" width="8.77734375" style="7" customWidth="1"/>
    <col min="6" max="6" width="12.6640625" style="7" customWidth="1"/>
    <col min="7" max="7" width="13.6640625" style="7" customWidth="1"/>
    <col min="8" max="9" width="9.33203125" style="7" customWidth="1"/>
    <col min="10" max="13" width="9.77734375" style="7" customWidth="1"/>
    <col min="14" max="16384" width="8.88671875" style="7"/>
  </cols>
  <sheetData>
    <row r="1" spans="2:13" ht="18.75" customHeight="1" x14ac:dyDescent="0.2">
      <c r="B1" s="112" t="str">
        <f>inputPrYr!$D$3</f>
        <v>Valley Falls</v>
      </c>
      <c r="C1" s="6"/>
      <c r="D1" s="6"/>
      <c r="E1" s="6"/>
      <c r="F1" s="6"/>
      <c r="G1" s="6"/>
      <c r="H1" s="6"/>
      <c r="I1" s="6"/>
      <c r="J1" s="6"/>
      <c r="K1" s="6"/>
      <c r="L1" s="6"/>
      <c r="M1" s="131">
        <f>inputPrYr!$C$6</f>
        <v>2023</v>
      </c>
    </row>
    <row r="2" spans="2:13" x14ac:dyDescent="0.2">
      <c r="B2" s="112"/>
      <c r="C2" s="6"/>
      <c r="D2" s="6"/>
      <c r="E2" s="6"/>
      <c r="F2" s="6"/>
      <c r="G2" s="6"/>
      <c r="H2" s="6"/>
      <c r="I2" s="6"/>
      <c r="J2" s="6"/>
      <c r="K2" s="6"/>
      <c r="L2" s="6"/>
      <c r="M2" s="108"/>
    </row>
    <row r="3" spans="2:13" x14ac:dyDescent="0.2">
      <c r="B3" s="132" t="s">
        <v>86</v>
      </c>
      <c r="C3" s="13"/>
      <c r="D3" s="13"/>
      <c r="E3" s="13"/>
      <c r="F3" s="13"/>
      <c r="G3" s="13"/>
      <c r="H3" s="13"/>
      <c r="I3" s="13"/>
      <c r="J3" s="13"/>
      <c r="K3" s="13"/>
      <c r="L3" s="13"/>
      <c r="M3" s="13"/>
    </row>
    <row r="4" spans="2:13" x14ac:dyDescent="0.2">
      <c r="B4" s="6"/>
      <c r="C4" s="133"/>
      <c r="D4" s="133"/>
      <c r="E4" s="133"/>
      <c r="F4" s="133"/>
      <c r="G4" s="133"/>
      <c r="H4" s="133"/>
      <c r="I4" s="133"/>
      <c r="J4" s="133"/>
      <c r="K4" s="133"/>
      <c r="L4" s="133"/>
      <c r="M4" s="133"/>
    </row>
    <row r="5" spans="2:13" x14ac:dyDescent="0.2">
      <c r="B5" s="97"/>
      <c r="C5" s="115" t="s">
        <v>55</v>
      </c>
      <c r="D5" s="115" t="s">
        <v>55</v>
      </c>
      <c r="E5" s="115" t="s">
        <v>69</v>
      </c>
      <c r="F5" s="115"/>
      <c r="G5" s="115" t="s">
        <v>141</v>
      </c>
      <c r="H5" s="6"/>
      <c r="I5" s="6"/>
      <c r="J5" s="134" t="s">
        <v>56</v>
      </c>
      <c r="K5" s="135"/>
      <c r="L5" s="134" t="s">
        <v>56</v>
      </c>
      <c r="M5" s="135"/>
    </row>
    <row r="6" spans="2:13" x14ac:dyDescent="0.2">
      <c r="B6" s="91" t="s">
        <v>723</v>
      </c>
      <c r="C6" s="91" t="s">
        <v>57</v>
      </c>
      <c r="D6" s="91" t="s">
        <v>142</v>
      </c>
      <c r="E6" s="91" t="s">
        <v>58</v>
      </c>
      <c r="F6" s="91" t="s">
        <v>14</v>
      </c>
      <c r="G6" s="91" t="s">
        <v>143</v>
      </c>
      <c r="H6" s="862" t="s">
        <v>59</v>
      </c>
      <c r="I6" s="863"/>
      <c r="J6" s="864">
        <f>M1-1</f>
        <v>2022</v>
      </c>
      <c r="K6" s="865"/>
      <c r="L6" s="864">
        <f>M1</f>
        <v>2023</v>
      </c>
      <c r="M6" s="865"/>
    </row>
    <row r="7" spans="2:13" x14ac:dyDescent="0.2">
      <c r="B7" s="94" t="s">
        <v>724</v>
      </c>
      <c r="C7" s="94" t="s">
        <v>60</v>
      </c>
      <c r="D7" s="94" t="s">
        <v>144</v>
      </c>
      <c r="E7" s="94" t="s">
        <v>36</v>
      </c>
      <c r="F7" s="94" t="s">
        <v>61</v>
      </c>
      <c r="G7" s="136" t="str">
        <f>CONCATENATE("Jan 1, ", M1-1,"")</f>
        <v>Jan 1, 2022</v>
      </c>
      <c r="H7" s="101" t="s">
        <v>69</v>
      </c>
      <c r="I7" s="101" t="s">
        <v>71</v>
      </c>
      <c r="J7" s="101" t="s">
        <v>69</v>
      </c>
      <c r="K7" s="101" t="s">
        <v>71</v>
      </c>
      <c r="L7" s="101" t="s">
        <v>69</v>
      </c>
      <c r="M7" s="101" t="s">
        <v>71</v>
      </c>
    </row>
    <row r="8" spans="2:13" x14ac:dyDescent="0.2">
      <c r="B8" s="137" t="s">
        <v>62</v>
      </c>
      <c r="C8" s="24"/>
      <c r="D8" s="24"/>
      <c r="E8" s="138"/>
      <c r="F8" s="139"/>
      <c r="G8" s="139"/>
      <c r="H8" s="24"/>
      <c r="I8" s="24"/>
      <c r="J8" s="139"/>
      <c r="K8" s="139"/>
      <c r="L8" s="139"/>
      <c r="M8" s="139"/>
    </row>
    <row r="9" spans="2:13" x14ac:dyDescent="0.2">
      <c r="B9" s="29" t="s">
        <v>1072</v>
      </c>
      <c r="C9" s="281">
        <v>42629</v>
      </c>
      <c r="D9" s="281">
        <v>50100</v>
      </c>
      <c r="E9" s="140">
        <v>4.46</v>
      </c>
      <c r="F9" s="141">
        <v>1535000</v>
      </c>
      <c r="G9" s="142">
        <v>1365000</v>
      </c>
      <c r="H9" s="143">
        <v>44835</v>
      </c>
      <c r="I9" s="143">
        <v>44652</v>
      </c>
      <c r="J9" s="142">
        <v>39763</v>
      </c>
      <c r="K9" s="142">
        <v>65000</v>
      </c>
      <c r="L9" s="142">
        <v>38528</v>
      </c>
      <c r="M9" s="142">
        <v>65000</v>
      </c>
    </row>
    <row r="10" spans="2:13" x14ac:dyDescent="0.2">
      <c r="B10" s="29"/>
      <c r="C10" s="281"/>
      <c r="D10" s="281"/>
      <c r="E10" s="140"/>
      <c r="F10" s="141"/>
      <c r="G10" s="142"/>
      <c r="H10" s="143"/>
      <c r="I10" s="143"/>
      <c r="J10" s="142"/>
      <c r="K10" s="142"/>
      <c r="L10" s="142"/>
      <c r="M10" s="142"/>
    </row>
    <row r="11" spans="2:13" x14ac:dyDescent="0.2">
      <c r="B11" s="29"/>
      <c r="C11" s="281"/>
      <c r="D11" s="281"/>
      <c r="E11" s="140"/>
      <c r="F11" s="141"/>
      <c r="G11" s="142"/>
      <c r="H11" s="143"/>
      <c r="I11" s="143"/>
      <c r="J11" s="142"/>
      <c r="K11" s="142"/>
      <c r="L11" s="142"/>
      <c r="M11" s="142"/>
    </row>
    <row r="12" spans="2:13" x14ac:dyDescent="0.2">
      <c r="B12" s="29"/>
      <c r="C12" s="281"/>
      <c r="D12" s="281"/>
      <c r="E12" s="140"/>
      <c r="F12" s="141"/>
      <c r="G12" s="142"/>
      <c r="H12" s="143"/>
      <c r="I12" s="143"/>
      <c r="J12" s="142"/>
      <c r="K12" s="142"/>
      <c r="L12" s="142"/>
      <c r="M12" s="142"/>
    </row>
    <row r="13" spans="2:13" x14ac:dyDescent="0.2">
      <c r="B13" s="29"/>
      <c r="C13" s="281"/>
      <c r="D13" s="281"/>
      <c r="E13" s="140"/>
      <c r="F13" s="141"/>
      <c r="G13" s="142"/>
      <c r="H13" s="143"/>
      <c r="I13" s="143"/>
      <c r="J13" s="142"/>
      <c r="K13" s="142"/>
      <c r="L13" s="142"/>
      <c r="M13" s="142"/>
    </row>
    <row r="14" spans="2:13" x14ac:dyDescent="0.2">
      <c r="B14" s="29"/>
      <c r="C14" s="281"/>
      <c r="D14" s="281"/>
      <c r="E14" s="140"/>
      <c r="F14" s="141"/>
      <c r="G14" s="142"/>
      <c r="H14" s="143"/>
      <c r="I14" s="143"/>
      <c r="J14" s="142"/>
      <c r="K14" s="142"/>
      <c r="L14" s="142"/>
      <c r="M14" s="142"/>
    </row>
    <row r="15" spans="2:13" x14ac:dyDescent="0.2">
      <c r="B15" s="29"/>
      <c r="C15" s="281"/>
      <c r="D15" s="281"/>
      <c r="E15" s="140"/>
      <c r="F15" s="141"/>
      <c r="G15" s="142"/>
      <c r="H15" s="143"/>
      <c r="I15" s="143"/>
      <c r="J15" s="142"/>
      <c r="K15" s="142"/>
      <c r="L15" s="142"/>
      <c r="M15" s="142"/>
    </row>
    <row r="16" spans="2:13" x14ac:dyDescent="0.2">
      <c r="B16" s="29"/>
      <c r="C16" s="281"/>
      <c r="D16" s="281"/>
      <c r="E16" s="140"/>
      <c r="F16" s="141"/>
      <c r="G16" s="142"/>
      <c r="H16" s="143"/>
      <c r="I16" s="143"/>
      <c r="J16" s="142"/>
      <c r="K16" s="142"/>
      <c r="L16" s="142"/>
      <c r="M16" s="142"/>
    </row>
    <row r="17" spans="2:13" x14ac:dyDescent="0.2">
      <c r="B17" s="29"/>
      <c r="C17" s="281"/>
      <c r="D17" s="281"/>
      <c r="E17" s="140"/>
      <c r="F17" s="141"/>
      <c r="G17" s="142"/>
      <c r="H17" s="143"/>
      <c r="I17" s="143"/>
      <c r="J17" s="142"/>
      <c r="K17" s="142"/>
      <c r="L17" s="142"/>
      <c r="M17" s="142"/>
    </row>
    <row r="18" spans="2:13" x14ac:dyDescent="0.2">
      <c r="B18" s="29"/>
      <c r="C18" s="281"/>
      <c r="D18" s="281"/>
      <c r="E18" s="140"/>
      <c r="F18" s="141"/>
      <c r="G18" s="142"/>
      <c r="H18" s="143"/>
      <c r="I18" s="143"/>
      <c r="J18" s="142"/>
      <c r="K18" s="142"/>
      <c r="L18" s="142"/>
      <c r="M18" s="142"/>
    </row>
    <row r="19" spans="2:13" x14ac:dyDescent="0.2">
      <c r="B19" s="29"/>
      <c r="C19" s="281"/>
      <c r="D19" s="281"/>
      <c r="E19" s="140"/>
      <c r="F19" s="141"/>
      <c r="G19" s="142"/>
      <c r="H19" s="143"/>
      <c r="I19" s="143"/>
      <c r="J19" s="142"/>
      <c r="K19" s="142"/>
      <c r="L19" s="142"/>
      <c r="M19" s="142"/>
    </row>
    <row r="20" spans="2:13" x14ac:dyDescent="0.2">
      <c r="B20" s="144" t="s">
        <v>63</v>
      </c>
      <c r="C20" s="145"/>
      <c r="D20" s="145"/>
      <c r="E20" s="146"/>
      <c r="F20" s="147"/>
      <c r="G20" s="148">
        <f>SUM(G9:G19)</f>
        <v>1365000</v>
      </c>
      <c r="H20" s="149"/>
      <c r="I20" s="149"/>
      <c r="J20" s="148">
        <f>SUM(J9:J19)</f>
        <v>39763</v>
      </c>
      <c r="K20" s="148">
        <f>SUM(K9:K19)</f>
        <v>65000</v>
      </c>
      <c r="L20" s="148">
        <f>SUM(L9:L19)</f>
        <v>38528</v>
      </c>
      <c r="M20" s="148">
        <f>SUM(M9:M19)</f>
        <v>65000</v>
      </c>
    </row>
    <row r="21" spans="2:13" x14ac:dyDescent="0.2">
      <c r="B21" s="137" t="s">
        <v>64</v>
      </c>
      <c r="C21" s="150"/>
      <c r="D21" s="150"/>
      <c r="E21" s="151"/>
      <c r="F21" s="129"/>
      <c r="G21" s="129"/>
      <c r="H21" s="152"/>
      <c r="I21" s="152"/>
      <c r="J21" s="129"/>
      <c r="K21" s="129"/>
      <c r="L21" s="129"/>
      <c r="M21" s="129"/>
    </row>
    <row r="22" spans="2:13" x14ac:dyDescent="0.2">
      <c r="B22" s="29"/>
      <c r="C22" s="281"/>
      <c r="D22" s="281"/>
      <c r="E22" s="140"/>
      <c r="F22" s="141"/>
      <c r="G22" s="142"/>
      <c r="H22" s="143"/>
      <c r="I22" s="143"/>
      <c r="J22" s="142"/>
      <c r="K22" s="142"/>
      <c r="L22" s="142"/>
      <c r="M22" s="142"/>
    </row>
    <row r="23" spans="2:13" x14ac:dyDescent="0.2">
      <c r="B23" s="29"/>
      <c r="C23" s="281"/>
      <c r="D23" s="281"/>
      <c r="E23" s="140"/>
      <c r="F23" s="141"/>
      <c r="G23" s="142"/>
      <c r="H23" s="143"/>
      <c r="I23" s="143"/>
      <c r="J23" s="142"/>
      <c r="K23" s="142"/>
      <c r="L23" s="142"/>
      <c r="M23" s="142"/>
    </row>
    <row r="24" spans="2:13" x14ac:dyDescent="0.2">
      <c r="B24" s="29"/>
      <c r="C24" s="281"/>
      <c r="D24" s="281"/>
      <c r="E24" s="140"/>
      <c r="F24" s="141"/>
      <c r="G24" s="142"/>
      <c r="H24" s="143"/>
      <c r="I24" s="143"/>
      <c r="J24" s="142"/>
      <c r="K24" s="142"/>
      <c r="L24" s="142"/>
      <c r="M24" s="142"/>
    </row>
    <row r="25" spans="2:13" x14ac:dyDescent="0.2">
      <c r="B25" s="29"/>
      <c r="C25" s="281"/>
      <c r="D25" s="281"/>
      <c r="E25" s="140"/>
      <c r="F25" s="141"/>
      <c r="G25" s="142"/>
      <c r="H25" s="143"/>
      <c r="I25" s="143"/>
      <c r="J25" s="142"/>
      <c r="K25" s="142"/>
      <c r="L25" s="142"/>
      <c r="M25" s="142"/>
    </row>
    <row r="26" spans="2:13" x14ac:dyDescent="0.2">
      <c r="B26" s="29"/>
      <c r="C26" s="281"/>
      <c r="D26" s="281"/>
      <c r="E26" s="140"/>
      <c r="F26" s="141"/>
      <c r="G26" s="142"/>
      <c r="H26" s="143"/>
      <c r="I26" s="143"/>
      <c r="J26" s="142"/>
      <c r="K26" s="142"/>
      <c r="L26" s="142"/>
      <c r="M26" s="142"/>
    </row>
    <row r="27" spans="2:13" x14ac:dyDescent="0.2">
      <c r="B27" s="29"/>
      <c r="C27" s="281"/>
      <c r="D27" s="281"/>
      <c r="E27" s="140"/>
      <c r="F27" s="141"/>
      <c r="G27" s="142"/>
      <c r="H27" s="143"/>
      <c r="I27" s="143"/>
      <c r="J27" s="142"/>
      <c r="K27" s="142"/>
      <c r="L27" s="142"/>
      <c r="M27" s="142"/>
    </row>
    <row r="28" spans="2:13" x14ac:dyDescent="0.2">
      <c r="B28" s="29"/>
      <c r="C28" s="281"/>
      <c r="D28" s="281"/>
      <c r="E28" s="140"/>
      <c r="F28" s="141"/>
      <c r="G28" s="142"/>
      <c r="H28" s="143"/>
      <c r="I28" s="143"/>
      <c r="J28" s="142"/>
      <c r="K28" s="142"/>
      <c r="L28" s="142"/>
      <c r="M28" s="142"/>
    </row>
    <row r="29" spans="2:13" x14ac:dyDescent="0.2">
      <c r="B29" s="29"/>
      <c r="C29" s="281"/>
      <c r="D29" s="281"/>
      <c r="E29" s="140"/>
      <c r="F29" s="141"/>
      <c r="G29" s="142"/>
      <c r="H29" s="143"/>
      <c r="I29" s="143"/>
      <c r="J29" s="142"/>
      <c r="K29" s="142"/>
      <c r="L29" s="142"/>
      <c r="M29" s="142"/>
    </row>
    <row r="30" spans="2:13" x14ac:dyDescent="0.2">
      <c r="B30" s="29"/>
      <c r="C30" s="281"/>
      <c r="D30" s="281"/>
      <c r="E30" s="140"/>
      <c r="F30" s="141"/>
      <c r="G30" s="142"/>
      <c r="H30" s="143"/>
      <c r="I30" s="143"/>
      <c r="J30" s="142"/>
      <c r="K30" s="142"/>
      <c r="L30" s="142"/>
      <c r="M30" s="142"/>
    </row>
    <row r="31" spans="2:13" x14ac:dyDescent="0.2">
      <c r="B31" s="29"/>
      <c r="C31" s="281"/>
      <c r="D31" s="281"/>
      <c r="E31" s="140"/>
      <c r="F31" s="141"/>
      <c r="G31" s="142"/>
      <c r="H31" s="143"/>
      <c r="I31" s="143"/>
      <c r="J31" s="142"/>
      <c r="K31" s="142"/>
      <c r="L31" s="142"/>
      <c r="M31" s="142"/>
    </row>
    <row r="32" spans="2:13" x14ac:dyDescent="0.2">
      <c r="B32" s="144" t="s">
        <v>65</v>
      </c>
      <c r="C32" s="145"/>
      <c r="D32" s="145"/>
      <c r="E32" s="153"/>
      <c r="F32" s="147"/>
      <c r="G32" s="154">
        <f>SUM(G22:G31)</f>
        <v>0</v>
      </c>
      <c r="H32" s="149"/>
      <c r="I32" s="149"/>
      <c r="J32" s="154">
        <f>SUM(J22:J31)</f>
        <v>0</v>
      </c>
      <c r="K32" s="154">
        <f>SUM(K22:K31)</f>
        <v>0</v>
      </c>
      <c r="L32" s="148">
        <f>SUM(L22:L31)</f>
        <v>0</v>
      </c>
      <c r="M32" s="154">
        <f>SUM(M22:M31)</f>
        <v>0</v>
      </c>
    </row>
    <row r="33" spans="2:29" x14ac:dyDescent="0.2">
      <c r="B33" s="137" t="s">
        <v>66</v>
      </c>
      <c r="C33" s="150"/>
      <c r="D33" s="150"/>
      <c r="E33" s="151"/>
      <c r="F33" s="129"/>
      <c r="G33" s="155"/>
      <c r="H33" s="152"/>
      <c r="I33" s="152"/>
      <c r="J33" s="129"/>
      <c r="K33" s="129"/>
      <c r="L33" s="129"/>
      <c r="M33" s="129"/>
    </row>
    <row r="34" spans="2:29" x14ac:dyDescent="0.2">
      <c r="B34" s="29"/>
      <c r="C34" s="281"/>
      <c r="D34" s="281"/>
      <c r="E34" s="140"/>
      <c r="F34" s="141"/>
      <c r="G34" s="142"/>
      <c r="H34" s="143"/>
      <c r="I34" s="143"/>
      <c r="J34" s="142"/>
      <c r="K34" s="142"/>
      <c r="L34" s="142"/>
      <c r="M34" s="142"/>
    </row>
    <row r="35" spans="2:29" x14ac:dyDescent="0.2">
      <c r="B35" s="29"/>
      <c r="C35" s="281"/>
      <c r="D35" s="281"/>
      <c r="E35" s="140"/>
      <c r="F35" s="141"/>
      <c r="G35" s="142"/>
      <c r="H35" s="143"/>
      <c r="I35" s="143"/>
      <c r="J35" s="142"/>
      <c r="K35" s="142"/>
      <c r="L35" s="142"/>
      <c r="M35" s="142"/>
    </row>
    <row r="36" spans="2:29" x14ac:dyDescent="0.2">
      <c r="B36" s="29"/>
      <c r="C36" s="281"/>
      <c r="D36" s="281"/>
      <c r="E36" s="140"/>
      <c r="F36" s="141"/>
      <c r="G36" s="142"/>
      <c r="H36" s="143"/>
      <c r="I36" s="143"/>
      <c r="J36" s="142"/>
      <c r="K36" s="142"/>
      <c r="L36" s="142"/>
      <c r="M36" s="142"/>
    </row>
    <row r="37" spans="2:29" x14ac:dyDescent="0.2">
      <c r="B37" s="29"/>
      <c r="C37" s="281"/>
      <c r="D37" s="281"/>
      <c r="E37" s="140"/>
      <c r="F37" s="141"/>
      <c r="G37" s="142"/>
      <c r="H37" s="143"/>
      <c r="I37" s="143"/>
      <c r="J37" s="142"/>
      <c r="K37" s="142"/>
      <c r="L37" s="142"/>
      <c r="M37" s="142"/>
    </row>
    <row r="38" spans="2:29" x14ac:dyDescent="0.2">
      <c r="B38" s="29"/>
      <c r="C38" s="281"/>
      <c r="D38" s="281"/>
      <c r="E38" s="140"/>
      <c r="F38" s="141"/>
      <c r="G38" s="142"/>
      <c r="H38" s="143"/>
      <c r="I38" s="143"/>
      <c r="J38" s="142"/>
      <c r="K38" s="142"/>
      <c r="L38" s="142"/>
      <c r="M38" s="142"/>
    </row>
    <row r="39" spans="2:29" x14ac:dyDescent="0.2">
      <c r="B39" s="29"/>
      <c r="C39" s="281"/>
      <c r="D39" s="281"/>
      <c r="E39" s="140"/>
      <c r="F39" s="141"/>
      <c r="G39" s="142"/>
      <c r="H39" s="143"/>
      <c r="I39" s="143"/>
      <c r="J39" s="142"/>
      <c r="K39" s="142"/>
      <c r="L39" s="142"/>
      <c r="M39" s="142"/>
    </row>
    <row r="40" spans="2:29" x14ac:dyDescent="0.2">
      <c r="B40" s="29"/>
      <c r="C40" s="281"/>
      <c r="D40" s="281"/>
      <c r="E40" s="140"/>
      <c r="F40" s="141"/>
      <c r="G40" s="142"/>
      <c r="H40" s="143"/>
      <c r="I40" s="143"/>
      <c r="J40" s="142"/>
      <c r="K40" s="142"/>
      <c r="L40" s="142"/>
      <c r="M40" s="142"/>
    </row>
    <row r="41" spans="2:29" x14ac:dyDescent="0.2">
      <c r="B41" s="29"/>
      <c r="C41" s="281"/>
      <c r="D41" s="281"/>
      <c r="E41" s="140"/>
      <c r="F41" s="141"/>
      <c r="G41" s="142"/>
      <c r="H41" s="143"/>
      <c r="I41" s="143"/>
      <c r="J41" s="142"/>
      <c r="K41" s="142"/>
      <c r="L41" s="142"/>
      <c r="M41" s="142"/>
      <c r="N41" s="2"/>
      <c r="O41" s="2"/>
      <c r="P41" s="2"/>
      <c r="Q41" s="2"/>
      <c r="R41" s="2"/>
      <c r="S41" s="2"/>
      <c r="T41" s="2"/>
      <c r="U41" s="2"/>
      <c r="V41" s="2"/>
      <c r="W41" s="2"/>
      <c r="X41" s="2"/>
      <c r="Y41" s="2"/>
      <c r="Z41" s="2"/>
      <c r="AA41" s="2"/>
      <c r="AB41" s="2"/>
      <c r="AC41" s="2"/>
    </row>
    <row r="42" spans="2:29" x14ac:dyDescent="0.2">
      <c r="B42" s="144" t="s">
        <v>145</v>
      </c>
      <c r="C42" s="128"/>
      <c r="D42" s="128"/>
      <c r="E42" s="153"/>
      <c r="F42" s="147"/>
      <c r="G42" s="154">
        <f>SUM(G34:G41)</f>
        <v>0</v>
      </c>
      <c r="H42" s="147"/>
      <c r="I42" s="147"/>
      <c r="J42" s="154">
        <f>SUM(J34:J41)</f>
        <v>0</v>
      </c>
      <c r="K42" s="154">
        <f>SUM(K34:K41)</f>
        <v>0</v>
      </c>
      <c r="L42" s="154">
        <f>SUM(L34:L41)</f>
        <v>0</v>
      </c>
      <c r="M42" s="154">
        <f>SUM(M34:M41)</f>
        <v>0</v>
      </c>
    </row>
    <row r="43" spans="2:29" x14ac:dyDescent="0.2">
      <c r="B43" s="144" t="s">
        <v>67</v>
      </c>
      <c r="C43" s="128"/>
      <c r="D43" s="128"/>
      <c r="E43" s="128"/>
      <c r="F43" s="147"/>
      <c r="G43" s="154">
        <f>SUM(G20+G32+G42)</f>
        <v>1365000</v>
      </c>
      <c r="H43" s="147"/>
      <c r="I43" s="147"/>
      <c r="J43" s="154">
        <f>SUM(J20+J32+J42)</f>
        <v>39763</v>
      </c>
      <c r="K43" s="154">
        <f>SUM(K20+K32+K42)</f>
        <v>65000</v>
      </c>
      <c r="L43" s="154">
        <f>SUM(L20+L32+L42)</f>
        <v>38528</v>
      </c>
      <c r="M43" s="154">
        <f>SUM(M20+M32+M42)</f>
        <v>65000</v>
      </c>
    </row>
    <row r="44" spans="2:29" x14ac:dyDescent="0.2">
      <c r="B44" s="2"/>
      <c r="C44" s="2"/>
      <c r="D44" s="2"/>
      <c r="E44" s="2"/>
      <c r="F44" s="2"/>
      <c r="G44" s="2"/>
      <c r="H44" s="2"/>
      <c r="I44" s="2"/>
      <c r="J44" s="2"/>
      <c r="K44" s="2"/>
      <c r="L44" s="2"/>
      <c r="M44" s="2"/>
    </row>
    <row r="45" spans="2:29" x14ac:dyDescent="0.2">
      <c r="F45" s="156"/>
      <c r="G45" s="156"/>
      <c r="J45" s="156"/>
      <c r="K45" s="156"/>
      <c r="L45" s="156"/>
      <c r="M45" s="156"/>
    </row>
    <row r="46" spans="2:29" x14ac:dyDescent="0.2">
      <c r="F46" s="2"/>
      <c r="H46" s="157"/>
      <c r="N46" s="2"/>
    </row>
    <row r="47" spans="2:29" x14ac:dyDescent="0.2">
      <c r="B47" s="2"/>
      <c r="C47" s="2"/>
      <c r="D47" s="2"/>
      <c r="E47" s="2"/>
      <c r="F47" s="2"/>
      <c r="G47" s="2"/>
      <c r="H47" s="2"/>
      <c r="I47" s="2"/>
      <c r="J47" s="2"/>
      <c r="K47" s="2"/>
      <c r="L47" s="2"/>
      <c r="M47" s="2"/>
    </row>
    <row r="48" spans="2:29" x14ac:dyDescent="0.2">
      <c r="B48" s="2"/>
      <c r="C48" s="2"/>
      <c r="D48" s="2"/>
      <c r="E48" s="2"/>
      <c r="F48" s="2"/>
      <c r="G48" s="2"/>
      <c r="H48" s="2"/>
      <c r="I48" s="2"/>
      <c r="J48" s="2"/>
      <c r="K48" s="2"/>
      <c r="L48" s="2"/>
      <c r="M48" s="2"/>
    </row>
  </sheetData>
  <sheetProtection sheet="1"/>
  <mergeCells count="3">
    <mergeCell ref="H6:I6"/>
    <mergeCell ref="J6:K6"/>
    <mergeCell ref="L6:M6"/>
  </mergeCells>
  <phoneticPr fontId="0" type="noConversion"/>
  <pageMargins left="0.25" right="0.25" top="1" bottom="0.5" header="0.5" footer="0.25"/>
  <pageSetup scale="75" orientation="landscape" blackAndWhite="1" horizontalDpi="120" verticalDpi="144" r:id="rId1"/>
  <headerFooter alignWithMargins="0">
    <oddHeader xml:space="preserve">&amp;RState of Kansas
City
</oddHeader>
    <oddFooter>&amp;CPage No. 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00B0F0"/>
    <pageSetUpPr fitToPage="1"/>
  </sheetPr>
  <dimension ref="B1:I30"/>
  <sheetViews>
    <sheetView zoomScale="75" workbookViewId="0">
      <selection activeCell="L25" sqref="L25"/>
    </sheetView>
  </sheetViews>
  <sheetFormatPr defaultRowHeight="15.75" x14ac:dyDescent="0.2"/>
  <cols>
    <col min="1" max="1" width="10.77734375" style="7" customWidth="1"/>
    <col min="2" max="2" width="23.5546875" style="7" customWidth="1"/>
    <col min="3" max="5" width="9.77734375" style="7" customWidth="1"/>
    <col min="6" max="6" width="18.33203125" style="7" customWidth="1"/>
    <col min="7" max="9" width="15.77734375" style="7" customWidth="1"/>
    <col min="10" max="16384" width="8.88671875" style="7"/>
  </cols>
  <sheetData>
    <row r="1" spans="2:9" x14ac:dyDescent="0.2">
      <c r="B1" s="112" t="str">
        <f>inputPrYr!$D$3</f>
        <v>Valley Falls</v>
      </c>
      <c r="C1" s="6"/>
      <c r="D1" s="6"/>
      <c r="E1" s="6"/>
      <c r="F1" s="6"/>
      <c r="G1" s="6"/>
      <c r="H1" s="6"/>
      <c r="I1" s="158">
        <f>inputPrYr!$C$6</f>
        <v>2023</v>
      </c>
    </row>
    <row r="2" spans="2:9" x14ac:dyDescent="0.2">
      <c r="B2" s="112"/>
      <c r="C2" s="6"/>
      <c r="D2" s="6"/>
      <c r="E2" s="6"/>
      <c r="F2" s="6"/>
      <c r="G2" s="6"/>
      <c r="H2" s="6"/>
      <c r="I2" s="108"/>
    </row>
    <row r="3" spans="2:9" x14ac:dyDescent="0.2">
      <c r="B3" s="6"/>
      <c r="C3" s="6"/>
      <c r="D3" s="6"/>
      <c r="E3" s="6"/>
      <c r="F3" s="6"/>
      <c r="G3" s="6"/>
      <c r="H3" s="6"/>
      <c r="I3" s="83"/>
    </row>
    <row r="4" spans="2:9" x14ac:dyDescent="0.2">
      <c r="B4" s="132" t="s">
        <v>80</v>
      </c>
      <c r="C4" s="13"/>
      <c r="D4" s="13"/>
      <c r="E4" s="13"/>
      <c r="F4" s="13"/>
      <c r="G4" s="13"/>
      <c r="H4" s="13"/>
      <c r="I4" s="13"/>
    </row>
    <row r="5" spans="2:9" x14ac:dyDescent="0.2">
      <c r="B5" s="31"/>
      <c r="C5" s="133"/>
      <c r="D5" s="133"/>
      <c r="E5" s="133"/>
      <c r="F5" s="133"/>
      <c r="G5" s="133"/>
      <c r="H5" s="133"/>
      <c r="I5" s="133"/>
    </row>
    <row r="6" spans="2:9" x14ac:dyDescent="0.2">
      <c r="B6" s="97"/>
      <c r="C6" s="97"/>
      <c r="D6" s="97"/>
      <c r="E6" s="97"/>
      <c r="F6" s="115" t="s">
        <v>247</v>
      </c>
      <c r="G6" s="97"/>
      <c r="H6" s="97"/>
      <c r="I6" s="97"/>
    </row>
    <row r="7" spans="2:9" x14ac:dyDescent="0.2">
      <c r="B7" s="98"/>
      <c r="C7" s="91"/>
      <c r="D7" s="91" t="s">
        <v>68</v>
      </c>
      <c r="E7" s="91" t="s">
        <v>69</v>
      </c>
      <c r="F7" s="91" t="s">
        <v>14</v>
      </c>
      <c r="G7" s="91" t="s">
        <v>71</v>
      </c>
      <c r="H7" s="91" t="s">
        <v>72</v>
      </c>
      <c r="I7" s="91" t="s">
        <v>72</v>
      </c>
    </row>
    <row r="8" spans="2:9" x14ac:dyDescent="0.2">
      <c r="B8" s="98"/>
      <c r="C8" s="91" t="s">
        <v>73</v>
      </c>
      <c r="D8" s="91" t="s">
        <v>74</v>
      </c>
      <c r="E8" s="91" t="s">
        <v>58</v>
      </c>
      <c r="F8" s="91" t="s">
        <v>75</v>
      </c>
      <c r="G8" s="91" t="s">
        <v>95</v>
      </c>
      <c r="H8" s="91" t="s">
        <v>76</v>
      </c>
      <c r="I8" s="91" t="s">
        <v>76</v>
      </c>
    </row>
    <row r="9" spans="2:9" x14ac:dyDescent="0.2">
      <c r="B9" s="94" t="s">
        <v>77</v>
      </c>
      <c r="C9" s="94" t="s">
        <v>55</v>
      </c>
      <c r="D9" s="159" t="s">
        <v>78</v>
      </c>
      <c r="E9" s="94" t="s">
        <v>36</v>
      </c>
      <c r="F9" s="159" t="s">
        <v>104</v>
      </c>
      <c r="G9" s="160" t="str">
        <f>CONCATENATE("Jan 1, ",I1-1,"")</f>
        <v>Jan 1, 2022</v>
      </c>
      <c r="H9" s="94">
        <f>I1-1</f>
        <v>2022</v>
      </c>
      <c r="I9" s="94">
        <f>I1</f>
        <v>2023</v>
      </c>
    </row>
    <row r="10" spans="2:9" x14ac:dyDescent="0.2">
      <c r="B10" s="29"/>
      <c r="C10" s="161"/>
      <c r="D10" s="162"/>
      <c r="E10" s="140"/>
      <c r="F10" s="141"/>
      <c r="G10" s="141"/>
      <c r="H10" s="141"/>
      <c r="I10" s="141"/>
    </row>
    <row r="11" spans="2:9" x14ac:dyDescent="0.2">
      <c r="B11" s="29"/>
      <c r="C11" s="161"/>
      <c r="D11" s="162"/>
      <c r="E11" s="140"/>
      <c r="F11" s="141"/>
      <c r="G11" s="141"/>
      <c r="H11" s="141"/>
      <c r="I11" s="141"/>
    </row>
    <row r="12" spans="2:9" x14ac:dyDescent="0.2">
      <c r="B12" s="29"/>
      <c r="C12" s="161"/>
      <c r="D12" s="162"/>
      <c r="E12" s="140"/>
      <c r="F12" s="141"/>
      <c r="G12" s="141"/>
      <c r="H12" s="141"/>
      <c r="I12" s="141"/>
    </row>
    <row r="13" spans="2:9" x14ac:dyDescent="0.2">
      <c r="B13" s="29"/>
      <c r="C13" s="161"/>
      <c r="D13" s="162"/>
      <c r="E13" s="140"/>
      <c r="F13" s="141"/>
      <c r="G13" s="141"/>
      <c r="H13" s="141"/>
      <c r="I13" s="141"/>
    </row>
    <row r="14" spans="2:9" x14ac:dyDescent="0.2">
      <c r="B14" s="29"/>
      <c r="C14" s="281"/>
      <c r="D14" s="162"/>
      <c r="E14" s="140"/>
      <c r="F14" s="141"/>
      <c r="G14" s="141"/>
      <c r="H14" s="141"/>
      <c r="I14" s="141"/>
    </row>
    <row r="15" spans="2:9" x14ac:dyDescent="0.2">
      <c r="B15" s="29"/>
      <c r="C15" s="161"/>
      <c r="D15" s="162"/>
      <c r="E15" s="140"/>
      <c r="F15" s="141"/>
      <c r="G15" s="141"/>
      <c r="H15" s="141"/>
      <c r="I15" s="141"/>
    </row>
    <row r="16" spans="2:9" x14ac:dyDescent="0.2">
      <c r="B16" s="29"/>
      <c r="C16" s="161"/>
      <c r="D16" s="162"/>
      <c r="E16" s="140"/>
      <c r="F16" s="141"/>
      <c r="G16" s="141"/>
      <c r="H16" s="141"/>
      <c r="I16" s="141"/>
    </row>
    <row r="17" spans="2:9" x14ac:dyDescent="0.2">
      <c r="B17" s="29"/>
      <c r="C17" s="161"/>
      <c r="D17" s="162"/>
      <c r="E17" s="140"/>
      <c r="F17" s="141"/>
      <c r="G17" s="141"/>
      <c r="H17" s="141"/>
      <c r="I17" s="141"/>
    </row>
    <row r="18" spans="2:9" x14ac:dyDescent="0.2">
      <c r="B18" s="29"/>
      <c r="C18" s="161"/>
      <c r="D18" s="162"/>
      <c r="E18" s="140"/>
      <c r="F18" s="141"/>
      <c r="G18" s="141"/>
      <c r="H18" s="141"/>
      <c r="I18" s="141"/>
    </row>
    <row r="19" spans="2:9" x14ac:dyDescent="0.2">
      <c r="B19" s="29"/>
      <c r="C19" s="161"/>
      <c r="D19" s="162"/>
      <c r="E19" s="140"/>
      <c r="F19" s="141"/>
      <c r="G19" s="141"/>
      <c r="H19" s="141"/>
      <c r="I19" s="141"/>
    </row>
    <row r="20" spans="2:9" x14ac:dyDescent="0.2">
      <c r="B20" s="29"/>
      <c r="C20" s="161"/>
      <c r="D20" s="162"/>
      <c r="E20" s="140"/>
      <c r="F20" s="141"/>
      <c r="G20" s="141"/>
      <c r="H20" s="141"/>
      <c r="I20" s="141"/>
    </row>
    <row r="21" spans="2:9" x14ac:dyDescent="0.2">
      <c r="B21" s="29"/>
      <c r="C21" s="161"/>
      <c r="D21" s="162"/>
      <c r="E21" s="140"/>
      <c r="F21" s="141"/>
      <c r="G21" s="141"/>
      <c r="H21" s="141"/>
      <c r="I21" s="141"/>
    </row>
    <row r="22" spans="2:9" x14ac:dyDescent="0.2">
      <c r="B22" s="29"/>
      <c r="C22" s="161"/>
      <c r="D22" s="162"/>
      <c r="E22" s="140"/>
      <c r="F22" s="141"/>
      <c r="G22" s="141"/>
      <c r="H22" s="141"/>
      <c r="I22" s="141"/>
    </row>
    <row r="23" spans="2:9" x14ac:dyDescent="0.2">
      <c r="B23" s="29"/>
      <c r="C23" s="161"/>
      <c r="D23" s="162"/>
      <c r="E23" s="140"/>
      <c r="F23" s="141"/>
      <c r="G23" s="141"/>
      <c r="H23" s="141"/>
      <c r="I23" s="141"/>
    </row>
    <row r="24" spans="2:9" x14ac:dyDescent="0.2">
      <c r="B24" s="29"/>
      <c r="C24" s="161"/>
      <c r="D24" s="162"/>
      <c r="E24" s="140"/>
      <c r="F24" s="141"/>
      <c r="G24" s="141"/>
      <c r="H24" s="141"/>
      <c r="I24" s="141"/>
    </row>
    <row r="25" spans="2:9" x14ac:dyDescent="0.2">
      <c r="B25" s="29"/>
      <c r="C25" s="161"/>
      <c r="D25" s="162"/>
      <c r="E25" s="140"/>
      <c r="F25" s="141"/>
      <c r="G25" s="141"/>
      <c r="H25" s="141"/>
      <c r="I25" s="141"/>
    </row>
    <row r="26" spans="2:9" x14ac:dyDescent="0.2">
      <c r="B26" s="29"/>
      <c r="C26" s="161"/>
      <c r="D26" s="162"/>
      <c r="E26" s="140"/>
      <c r="F26" s="141"/>
      <c r="G26" s="141"/>
      <c r="H26" s="141"/>
      <c r="I26" s="141"/>
    </row>
    <row r="27" spans="2:9" x14ac:dyDescent="0.2">
      <c r="B27" s="29"/>
      <c r="C27" s="161"/>
      <c r="D27" s="162"/>
      <c r="E27" s="140"/>
      <c r="F27" s="141"/>
      <c r="G27" s="141"/>
      <c r="H27" s="141"/>
      <c r="I27" s="141"/>
    </row>
    <row r="28" spans="2:9" ht="16.5" thickBot="1" x14ac:dyDescent="0.25">
      <c r="B28" s="163" t="s">
        <v>9</v>
      </c>
      <c r="C28" s="111"/>
      <c r="D28" s="111"/>
      <c r="E28" s="111"/>
      <c r="F28" s="111"/>
      <c r="G28" s="164">
        <f>SUM(G10:G27)</f>
        <v>0</v>
      </c>
      <c r="H28" s="164">
        <f>SUM(H10:H27)</f>
        <v>0</v>
      </c>
      <c r="I28" s="164">
        <f>SUM(I10:I27)</f>
        <v>0</v>
      </c>
    </row>
    <row r="29" spans="2:9" ht="16.5" thickTop="1" x14ac:dyDescent="0.2">
      <c r="B29" s="6"/>
      <c r="C29" s="6"/>
      <c r="D29" s="6"/>
      <c r="E29" s="6"/>
      <c r="F29" s="6"/>
      <c r="G29" s="6"/>
      <c r="H29" s="112"/>
      <c r="I29" s="112"/>
    </row>
    <row r="30" spans="2:9" ht="18.75" x14ac:dyDescent="0.2">
      <c r="B30" s="866" t="s">
        <v>1037</v>
      </c>
      <c r="C30" s="866"/>
      <c r="D30" s="866"/>
      <c r="E30" s="866"/>
      <c r="F30" s="866"/>
      <c r="G30" s="866"/>
      <c r="H30" s="866"/>
      <c r="I30" s="866"/>
    </row>
  </sheetData>
  <sheetProtection sheet="1"/>
  <mergeCells count="1">
    <mergeCell ref="B30:I30"/>
  </mergeCells>
  <phoneticPr fontId="0" type="noConversion"/>
  <pageMargins left="0.25" right="0.25" top="1" bottom="0.5" header="0.5" footer="0.5"/>
  <pageSetup scale="85" orientation="landscape" blackAndWhite="1" horizontalDpi="120" verticalDpi="144" r:id="rId1"/>
  <headerFooter alignWithMargins="0">
    <oddHeader xml:space="preserve">&amp;RState of Kansas
City
</oddHeader>
    <oddFooter>&amp;CPage No. 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00B0F0"/>
  </sheetPr>
  <dimension ref="B1:I108"/>
  <sheetViews>
    <sheetView topLeftCell="A112" zoomScaleNormal="100" workbookViewId="0">
      <selection activeCell="K29" sqref="K29"/>
    </sheetView>
  </sheetViews>
  <sheetFormatPr defaultRowHeight="15" x14ac:dyDescent="0.2"/>
  <cols>
    <col min="1" max="1" width="2.5546875" style="507" customWidth="1"/>
    <col min="2" max="4" width="8.88671875" style="507"/>
    <col min="5" max="5" width="9.6640625" style="507" customWidth="1"/>
    <col min="6" max="6" width="8.88671875" style="507"/>
    <col min="7" max="7" width="9.6640625" style="507" customWidth="1"/>
    <col min="8" max="16384" width="8.88671875" style="507"/>
  </cols>
  <sheetData>
    <row r="1" spans="2:9" ht="15.75" x14ac:dyDescent="0.25">
      <c r="B1" s="506"/>
      <c r="C1" s="506"/>
      <c r="D1" s="506"/>
      <c r="E1" s="506"/>
      <c r="F1" s="506"/>
      <c r="G1" s="506"/>
      <c r="H1" s="506"/>
      <c r="I1" s="506"/>
    </row>
    <row r="2" spans="2:9" ht="15.75" x14ac:dyDescent="0.2">
      <c r="B2" s="869" t="s">
        <v>672</v>
      </c>
      <c r="C2" s="869"/>
      <c r="D2" s="869"/>
      <c r="E2" s="869"/>
      <c r="F2" s="869"/>
      <c r="G2" s="869"/>
      <c r="H2" s="869"/>
      <c r="I2" s="869"/>
    </row>
    <row r="3" spans="2:9" ht="15.75" x14ac:dyDescent="0.2">
      <c r="B3" s="869" t="s">
        <v>673</v>
      </c>
      <c r="C3" s="869"/>
      <c r="D3" s="869"/>
      <c r="E3" s="869"/>
      <c r="F3" s="869"/>
      <c r="G3" s="869"/>
      <c r="H3" s="869"/>
      <c r="I3" s="869"/>
    </row>
    <row r="4" spans="2:9" ht="15.75" x14ac:dyDescent="0.2">
      <c r="B4" s="508"/>
      <c r="C4" s="508"/>
      <c r="D4" s="508"/>
      <c r="E4" s="508"/>
      <c r="F4" s="508"/>
      <c r="G4" s="508"/>
      <c r="H4" s="508"/>
      <c r="I4" s="508"/>
    </row>
    <row r="5" spans="2:9" ht="15.75" x14ac:dyDescent="0.2">
      <c r="B5" s="870" t="str">
        <f>CONCATENATE("Budgeted Year: ",inputPrYr!C6,"")</f>
        <v>Budgeted Year: 2023</v>
      </c>
      <c r="C5" s="870"/>
      <c r="D5" s="870"/>
      <c r="E5" s="870"/>
      <c r="F5" s="870"/>
      <c r="G5" s="870"/>
      <c r="H5" s="870"/>
      <c r="I5" s="870"/>
    </row>
    <row r="6" spans="2:9" ht="15.75" x14ac:dyDescent="0.2">
      <c r="B6" s="509"/>
      <c r="C6" s="508"/>
      <c r="D6" s="508"/>
      <c r="E6" s="508"/>
      <c r="F6" s="508"/>
      <c r="G6" s="508"/>
      <c r="H6" s="508"/>
      <c r="I6" s="508"/>
    </row>
    <row r="7" spans="2:9" ht="15.75" x14ac:dyDescent="0.2">
      <c r="B7" s="509" t="str">
        <f>CONCATENATE("Library found in: ",inputPrYr!D3,"")</f>
        <v>Library found in: Valley Falls</v>
      </c>
      <c r="C7" s="508"/>
      <c r="D7" s="508"/>
      <c r="E7" s="508"/>
      <c r="F7" s="508"/>
      <c r="G7" s="508"/>
      <c r="H7" s="508"/>
      <c r="I7" s="508"/>
    </row>
    <row r="8" spans="2:9" ht="15.75" x14ac:dyDescent="0.2">
      <c r="B8" s="509" t="str">
        <f>inputPrYr!D4</f>
        <v>Jefferson</v>
      </c>
      <c r="C8" s="508"/>
      <c r="D8" s="508"/>
      <c r="E8" s="508"/>
      <c r="F8" s="508"/>
      <c r="G8" s="508"/>
      <c r="H8" s="508"/>
      <c r="I8" s="508"/>
    </row>
    <row r="9" spans="2:9" ht="15.75" x14ac:dyDescent="0.2">
      <c r="B9" s="508"/>
      <c r="C9" s="508"/>
      <c r="D9" s="508"/>
      <c r="E9" s="508"/>
      <c r="F9" s="508"/>
      <c r="G9" s="508"/>
      <c r="H9" s="508"/>
      <c r="I9" s="508"/>
    </row>
    <row r="10" spans="2:9" ht="39" customHeight="1" x14ac:dyDescent="0.2">
      <c r="B10" s="871" t="s">
        <v>967</v>
      </c>
      <c r="C10" s="871"/>
      <c r="D10" s="871"/>
      <c r="E10" s="871"/>
      <c r="F10" s="871"/>
      <c r="G10" s="871"/>
      <c r="H10" s="871"/>
      <c r="I10" s="871"/>
    </row>
    <row r="11" spans="2:9" ht="15.75" x14ac:dyDescent="0.2">
      <c r="B11" s="508"/>
      <c r="C11" s="508"/>
      <c r="D11" s="508"/>
      <c r="E11" s="508"/>
      <c r="F11" s="508"/>
      <c r="G11" s="508"/>
      <c r="H11" s="508"/>
      <c r="I11" s="508"/>
    </row>
    <row r="12" spans="2:9" ht="15.75" x14ac:dyDescent="0.2">
      <c r="B12" s="510" t="s">
        <v>674</v>
      </c>
      <c r="C12" s="508"/>
      <c r="D12" s="508"/>
      <c r="E12" s="508"/>
      <c r="F12" s="508"/>
      <c r="G12" s="508"/>
      <c r="H12" s="508"/>
      <c r="I12" s="508"/>
    </row>
    <row r="13" spans="2:9" ht="15.75" x14ac:dyDescent="0.2">
      <c r="B13" s="508"/>
      <c r="C13" s="508"/>
      <c r="D13" s="508"/>
      <c r="E13" s="511" t="s">
        <v>666</v>
      </c>
      <c r="F13" s="508"/>
      <c r="G13" s="511" t="s">
        <v>675</v>
      </c>
      <c r="H13" s="508"/>
      <c r="I13" s="508"/>
    </row>
    <row r="14" spans="2:9" ht="15.75" x14ac:dyDescent="0.2">
      <c r="B14" s="508"/>
      <c r="C14" s="508"/>
      <c r="D14" s="508"/>
      <c r="E14" s="512">
        <f>inputPrYr!C6-1</f>
        <v>2022</v>
      </c>
      <c r="F14" s="508"/>
      <c r="G14" s="512">
        <f>inputPrYr!C6</f>
        <v>2023</v>
      </c>
      <c r="H14" s="508"/>
      <c r="I14" s="508"/>
    </row>
    <row r="15" spans="2:9" ht="15.75" x14ac:dyDescent="0.2">
      <c r="B15" s="509" t="str">
        <f>'DebtSvs-Library'!B50</f>
        <v>Ad Valorem Tax</v>
      </c>
      <c r="C15" s="508"/>
      <c r="D15" s="508"/>
      <c r="E15" s="513">
        <f>'DebtSvs-Library'!D50</f>
        <v>0</v>
      </c>
      <c r="F15" s="508"/>
      <c r="G15" s="513">
        <f>'DebtSvs-Library'!E81</f>
        <v>0</v>
      </c>
      <c r="H15" s="508"/>
      <c r="I15" s="508"/>
    </row>
    <row r="16" spans="2:9" ht="15.75" x14ac:dyDescent="0.2">
      <c r="B16" s="509" t="str">
        <f>'DebtSvs-Library'!B51</f>
        <v>Delinquent Tax</v>
      </c>
      <c r="C16" s="508"/>
      <c r="D16" s="508"/>
      <c r="E16" s="513">
        <f>'DebtSvs-Library'!D51</f>
        <v>0</v>
      </c>
      <c r="F16" s="508"/>
      <c r="G16" s="513">
        <f>'DebtSvs-Library'!E51</f>
        <v>0</v>
      </c>
      <c r="H16" s="508"/>
      <c r="I16" s="508"/>
    </row>
    <row r="17" spans="2:9" ht="15.75" x14ac:dyDescent="0.2">
      <c r="B17" s="509" t="str">
        <f>'DebtSvs-Library'!B52</f>
        <v>Motor Vehicle Tax</v>
      </c>
      <c r="C17" s="508"/>
      <c r="D17" s="508"/>
      <c r="E17" s="513">
        <f>'DebtSvs-Library'!D52</f>
        <v>0</v>
      </c>
      <c r="F17" s="508"/>
      <c r="G17" s="513" t="str">
        <f>'DebtSvs-Library'!E52</f>
        <v xml:space="preserve">  </v>
      </c>
      <c r="H17" s="508"/>
      <c r="I17" s="508"/>
    </row>
    <row r="18" spans="2:9" ht="15.75" x14ac:dyDescent="0.2">
      <c r="B18" s="509" t="str">
        <f>'DebtSvs-Library'!B53</f>
        <v>Recreational Vehicle Tax</v>
      </c>
      <c r="C18" s="508"/>
      <c r="D18" s="508"/>
      <c r="E18" s="513">
        <f>'DebtSvs-Library'!D53</f>
        <v>0</v>
      </c>
      <c r="F18" s="508"/>
      <c r="G18" s="513" t="str">
        <f>'DebtSvs-Library'!E53</f>
        <v xml:space="preserve"> </v>
      </c>
      <c r="H18" s="508"/>
      <c r="I18" s="508"/>
    </row>
    <row r="19" spans="2:9" ht="15.75" x14ac:dyDescent="0.2">
      <c r="B19" s="509" t="str">
        <f>'DebtSvs-Library'!B54</f>
        <v>16/20M Vehicle Tax</v>
      </c>
      <c r="C19" s="508"/>
      <c r="D19" s="508"/>
      <c r="E19" s="513">
        <f>'DebtSvs-Library'!D54</f>
        <v>0</v>
      </c>
      <c r="F19" s="508"/>
      <c r="G19" s="513" t="str">
        <f>'DebtSvs-Library'!E54</f>
        <v xml:space="preserve"> </v>
      </c>
      <c r="H19" s="508"/>
      <c r="I19" s="508"/>
    </row>
    <row r="20" spans="2:9" ht="15.75" x14ac:dyDescent="0.2">
      <c r="B20" s="508" t="s">
        <v>114</v>
      </c>
      <c r="C20" s="508"/>
      <c r="D20" s="508"/>
      <c r="E20" s="513">
        <v>0</v>
      </c>
      <c r="F20" s="508"/>
      <c r="G20" s="513">
        <v>0</v>
      </c>
      <c r="H20" s="508"/>
      <c r="I20" s="508"/>
    </row>
    <row r="21" spans="2:9" ht="15.75" x14ac:dyDescent="0.2">
      <c r="B21" s="508"/>
      <c r="C21" s="508"/>
      <c r="D21" s="508"/>
      <c r="E21" s="513">
        <v>0</v>
      </c>
      <c r="F21" s="508"/>
      <c r="G21" s="513">
        <v>0</v>
      </c>
      <c r="H21" s="508"/>
      <c r="I21" s="508"/>
    </row>
    <row r="22" spans="2:9" ht="15.75" x14ac:dyDescent="0.2">
      <c r="B22" s="508" t="s">
        <v>676</v>
      </c>
      <c r="C22" s="508"/>
      <c r="D22" s="508"/>
      <c r="E22" s="514">
        <f>SUM(E15:E21)</f>
        <v>0</v>
      </c>
      <c r="F22" s="508"/>
      <c r="G22" s="514">
        <f>SUM(G15:G21)</f>
        <v>0</v>
      </c>
      <c r="H22" s="508"/>
      <c r="I22" s="508"/>
    </row>
    <row r="23" spans="2:9" ht="15.75" x14ac:dyDescent="0.2">
      <c r="B23" s="508" t="s">
        <v>677</v>
      </c>
      <c r="C23" s="508"/>
      <c r="D23" s="508"/>
      <c r="E23" s="515">
        <f>G22-E22</f>
        <v>0</v>
      </c>
      <c r="F23" s="508"/>
      <c r="G23" s="516"/>
      <c r="H23" s="508"/>
      <c r="I23" s="508"/>
    </row>
    <row r="24" spans="2:9" ht="15.75" x14ac:dyDescent="0.2">
      <c r="B24" s="508" t="s">
        <v>678</v>
      </c>
      <c r="C24" s="508"/>
      <c r="D24" s="517" t="str">
        <f>IF((G22-E22)&gt;=0,"Qualify","Not Qualify")</f>
        <v>Qualify</v>
      </c>
      <c r="E24" s="508"/>
      <c r="F24" s="508"/>
      <c r="G24" s="508"/>
      <c r="H24" s="508"/>
      <c r="I24" s="508"/>
    </row>
    <row r="25" spans="2:9" ht="15.75" x14ac:dyDescent="0.2">
      <c r="B25" s="508"/>
      <c r="C25" s="508"/>
      <c r="D25" s="508"/>
      <c r="E25" s="508"/>
      <c r="F25" s="508"/>
      <c r="G25" s="508"/>
      <c r="H25" s="508"/>
      <c r="I25" s="508"/>
    </row>
    <row r="26" spans="2:9" ht="15.75" x14ac:dyDescent="0.2">
      <c r="B26" s="510" t="s">
        <v>679</v>
      </c>
      <c r="C26" s="508"/>
      <c r="D26" s="508"/>
      <c r="E26" s="508"/>
      <c r="F26" s="508"/>
      <c r="G26" s="508"/>
      <c r="H26" s="508"/>
      <c r="I26" s="508"/>
    </row>
    <row r="27" spans="2:9" ht="15.75" x14ac:dyDescent="0.2">
      <c r="B27" s="508" t="s">
        <v>680</v>
      </c>
      <c r="C27" s="508"/>
      <c r="D27" s="508"/>
      <c r="E27" s="513">
        <f>'Budget Hearing Notice'!D49</f>
        <v>6711947</v>
      </c>
      <c r="F27" s="508"/>
      <c r="G27" s="513">
        <f>'Budget Hearing Notice'!F49</f>
        <v>7356294</v>
      </c>
      <c r="H27" s="508"/>
      <c r="I27" s="508"/>
    </row>
    <row r="28" spans="2:9" ht="15.75" x14ac:dyDescent="0.2">
      <c r="B28" s="508" t="s">
        <v>681</v>
      </c>
      <c r="C28" s="508"/>
      <c r="D28" s="508"/>
      <c r="E28" s="518" t="str">
        <f>IF(G27-E27&gt;=0,"No","Yes")</f>
        <v>No</v>
      </c>
      <c r="F28" s="508"/>
      <c r="G28" s="508"/>
      <c r="H28" s="508"/>
      <c r="I28" s="508"/>
    </row>
    <row r="29" spans="2:9" ht="15.75" x14ac:dyDescent="0.2">
      <c r="B29" s="508" t="s">
        <v>682</v>
      </c>
      <c r="C29" s="508"/>
      <c r="D29" s="508"/>
      <c r="E29" s="511" t="str">
        <f>'Budget Hearing Notice'!E18</f>
        <v xml:space="preserve">  </v>
      </c>
      <c r="F29" s="508"/>
      <c r="G29" s="526" t="str">
        <f>'Budget Hearing Notice'!H18</f>
        <v xml:space="preserve"> </v>
      </c>
      <c r="H29" s="508"/>
      <c r="I29" s="508"/>
    </row>
    <row r="30" spans="2:9" ht="15.75" x14ac:dyDescent="0.2">
      <c r="B30" s="508" t="s">
        <v>683</v>
      </c>
      <c r="C30" s="508"/>
      <c r="D30" s="508"/>
      <c r="E30" s="527" t="e">
        <f>G29-E29</f>
        <v>#VALUE!</v>
      </c>
      <c r="F30" s="508"/>
      <c r="G30" s="508"/>
      <c r="H30" s="508"/>
      <c r="I30" s="508"/>
    </row>
    <row r="31" spans="2:9" ht="15.75" x14ac:dyDescent="0.2">
      <c r="B31" s="508" t="s">
        <v>678</v>
      </c>
      <c r="C31" s="508"/>
      <c r="D31" s="519" t="e">
        <f>IF(E30&gt;=0,"Qualify","Not Qualify")</f>
        <v>#VALUE!</v>
      </c>
      <c r="E31" s="508"/>
      <c r="F31" s="508"/>
      <c r="G31" s="508"/>
      <c r="H31" s="508"/>
      <c r="I31" s="508"/>
    </row>
    <row r="32" spans="2:9" ht="15.75" x14ac:dyDescent="0.2">
      <c r="B32" s="508"/>
      <c r="C32" s="508"/>
      <c r="D32" s="508"/>
      <c r="E32" s="508"/>
      <c r="F32" s="508"/>
      <c r="G32" s="508"/>
      <c r="H32" s="508"/>
      <c r="I32" s="508"/>
    </row>
    <row r="33" spans="2:9" ht="15.75" x14ac:dyDescent="0.2">
      <c r="B33" s="508" t="s">
        <v>684</v>
      </c>
      <c r="C33" s="508"/>
      <c r="D33" s="508"/>
      <c r="E33" s="508"/>
      <c r="F33" s="528" t="str">
        <f>IF(D24="Not Qualify",IF(D31="Not Qualify",IF(D31="Not Qualify","Not Qualify","Qualify"),"Qualify"),"Qualify")</f>
        <v>Qualify</v>
      </c>
      <c r="G33" s="508"/>
      <c r="H33" s="508"/>
      <c r="I33" s="508"/>
    </row>
    <row r="34" spans="2:9" ht="15.75" x14ac:dyDescent="0.2">
      <c r="B34" s="508"/>
      <c r="C34" s="508"/>
      <c r="D34" s="508"/>
      <c r="E34" s="508"/>
      <c r="F34" s="508"/>
      <c r="G34" s="508"/>
      <c r="H34" s="508"/>
      <c r="I34" s="508"/>
    </row>
    <row r="35" spans="2:9" ht="15.75" x14ac:dyDescent="0.2">
      <c r="B35" s="508"/>
      <c r="C35" s="508"/>
      <c r="D35" s="508"/>
      <c r="E35" s="508"/>
      <c r="F35" s="508"/>
      <c r="G35" s="508"/>
      <c r="H35" s="508"/>
      <c r="I35" s="508"/>
    </row>
    <row r="36" spans="2:9" ht="37.5" customHeight="1" x14ac:dyDescent="0.2">
      <c r="B36" s="871" t="s">
        <v>685</v>
      </c>
      <c r="C36" s="871"/>
      <c r="D36" s="871"/>
      <c r="E36" s="871"/>
      <c r="F36" s="871"/>
      <c r="G36" s="871"/>
      <c r="H36" s="871"/>
      <c r="I36" s="871"/>
    </row>
    <row r="37" spans="2:9" ht="15.75" x14ac:dyDescent="0.2">
      <c r="B37" s="508"/>
      <c r="C37" s="508"/>
      <c r="D37" s="508"/>
      <c r="E37" s="508"/>
      <c r="F37" s="508"/>
      <c r="G37" s="508"/>
      <c r="H37" s="508"/>
      <c r="I37" s="508"/>
    </row>
    <row r="38" spans="2:9" ht="15.75" x14ac:dyDescent="0.2">
      <c r="B38" s="508"/>
      <c r="C38" s="508"/>
      <c r="D38" s="508"/>
      <c r="E38" s="508"/>
      <c r="F38" s="508"/>
      <c r="G38" s="508"/>
      <c r="H38" s="508"/>
      <c r="I38" s="508"/>
    </row>
    <row r="39" spans="2:9" ht="15.75" x14ac:dyDescent="0.2">
      <c r="B39" s="508"/>
      <c r="C39" s="508"/>
      <c r="D39" s="508"/>
      <c r="E39" s="508"/>
      <c r="F39" s="508"/>
      <c r="G39" s="508"/>
      <c r="H39" s="508"/>
      <c r="I39" s="508"/>
    </row>
    <row r="40" spans="2:9" ht="15.75" x14ac:dyDescent="0.2">
      <c r="B40" s="508"/>
      <c r="C40" s="508"/>
      <c r="D40" s="508"/>
      <c r="E40" s="525" t="s">
        <v>29</v>
      </c>
      <c r="F40" s="524">
        <v>7</v>
      </c>
      <c r="G40" s="508"/>
      <c r="H40" s="508"/>
      <c r="I40" s="508"/>
    </row>
    <row r="41" spans="2:9" ht="15.75" x14ac:dyDescent="0.2">
      <c r="B41" s="508"/>
      <c r="C41" s="508"/>
      <c r="D41" s="508"/>
      <c r="E41" s="508"/>
      <c r="F41" s="508"/>
      <c r="G41" s="508"/>
      <c r="H41" s="508"/>
      <c r="I41" s="508"/>
    </row>
    <row r="42" spans="2:9" ht="15.75" x14ac:dyDescent="0.2">
      <c r="B42" s="508"/>
      <c r="C42" s="508"/>
      <c r="D42" s="508"/>
      <c r="E42" s="508"/>
      <c r="F42" s="508"/>
      <c r="G42" s="508"/>
      <c r="H42" s="508"/>
      <c r="I42" s="508"/>
    </row>
    <row r="43" spans="2:9" ht="15.75" x14ac:dyDescent="0.25">
      <c r="B43" s="867" t="s">
        <v>686</v>
      </c>
      <c r="C43" s="868"/>
      <c r="D43" s="868"/>
      <c r="E43" s="868"/>
      <c r="F43" s="868"/>
      <c r="G43" s="868"/>
      <c r="H43" s="868"/>
      <c r="I43" s="868"/>
    </row>
    <row r="44" spans="2:9" ht="15.75" x14ac:dyDescent="0.2">
      <c r="B44" s="508"/>
      <c r="C44" s="508"/>
      <c r="D44" s="508"/>
      <c r="E44" s="508"/>
      <c r="F44" s="508"/>
      <c r="G44" s="508"/>
      <c r="H44" s="508"/>
      <c r="I44" s="508"/>
    </row>
    <row r="45" spans="2:9" ht="15.75" x14ac:dyDescent="0.25">
      <c r="B45" s="520" t="s">
        <v>687</v>
      </c>
      <c r="C45" s="508"/>
      <c r="D45" s="508"/>
      <c r="E45" s="508"/>
      <c r="F45" s="508"/>
      <c r="G45" s="508"/>
      <c r="H45" s="508"/>
      <c r="I45" s="508"/>
    </row>
    <row r="46" spans="2:9" ht="15.75" x14ac:dyDescent="0.25">
      <c r="B46" s="520" t="str">
        <f>CONCATENATE("sources in your ",G14," library fund is not equal to or greater than the amount from the same")</f>
        <v>sources in your 2023 library fund is not equal to or greater than the amount from the same</v>
      </c>
      <c r="C46" s="508"/>
      <c r="D46" s="508"/>
      <c r="E46" s="508"/>
      <c r="F46" s="508"/>
      <c r="G46" s="508"/>
      <c r="H46" s="508"/>
      <c r="I46" s="508"/>
    </row>
    <row r="47" spans="2:9" ht="15.75" x14ac:dyDescent="0.25">
      <c r="B47" s="520" t="str">
        <f>CONCATENATE("sources in ",E14,".")</f>
        <v>sources in 2022.</v>
      </c>
      <c r="C47" s="506"/>
      <c r="D47" s="506"/>
      <c r="E47" s="506"/>
      <c r="F47" s="506"/>
      <c r="G47" s="506"/>
      <c r="H47" s="506"/>
      <c r="I47" s="506"/>
    </row>
    <row r="48" spans="2:9" ht="15.75" x14ac:dyDescent="0.25">
      <c r="B48" s="506"/>
      <c r="C48" s="506"/>
      <c r="D48" s="506"/>
      <c r="E48" s="506"/>
      <c r="F48" s="506"/>
      <c r="G48" s="506"/>
      <c r="H48" s="506"/>
      <c r="I48" s="506"/>
    </row>
    <row r="49" spans="2:9" ht="15.75" x14ac:dyDescent="0.25">
      <c r="B49" s="520" t="s">
        <v>688</v>
      </c>
      <c r="C49" s="520"/>
      <c r="D49" s="521"/>
      <c r="E49" s="521"/>
      <c r="F49" s="521"/>
      <c r="G49" s="521"/>
      <c r="H49" s="521"/>
      <c r="I49" s="521"/>
    </row>
    <row r="50" spans="2:9" ht="15.75" x14ac:dyDescent="0.25">
      <c r="B50" s="520" t="s">
        <v>689</v>
      </c>
      <c r="C50" s="520"/>
      <c r="D50" s="521"/>
      <c r="E50" s="521"/>
      <c r="F50" s="521"/>
      <c r="G50" s="521"/>
      <c r="H50" s="521"/>
      <c r="I50" s="521"/>
    </row>
    <row r="51" spans="2:9" ht="15.75" x14ac:dyDescent="0.25">
      <c r="B51" s="520" t="s">
        <v>690</v>
      </c>
      <c r="C51" s="520"/>
      <c r="D51" s="521"/>
      <c r="E51" s="521"/>
      <c r="F51" s="521"/>
      <c r="G51" s="521"/>
      <c r="H51" s="521"/>
      <c r="I51" s="521"/>
    </row>
    <row r="52" spans="2:9" x14ac:dyDescent="0.2">
      <c r="B52" s="521"/>
      <c r="C52" s="521"/>
      <c r="D52" s="521"/>
      <c r="E52" s="521"/>
      <c r="F52" s="521"/>
      <c r="G52" s="521"/>
      <c r="H52" s="521"/>
      <c r="I52" s="521"/>
    </row>
    <row r="53" spans="2:9" ht="15.75" x14ac:dyDescent="0.25">
      <c r="B53" s="522" t="s">
        <v>691</v>
      </c>
      <c r="C53" s="521"/>
      <c r="D53" s="521"/>
      <c r="E53" s="521"/>
      <c r="F53" s="521"/>
      <c r="G53" s="521"/>
      <c r="H53" s="521"/>
      <c r="I53" s="521"/>
    </row>
    <row r="54" spans="2:9" x14ac:dyDescent="0.2">
      <c r="B54" s="521"/>
      <c r="C54" s="521"/>
      <c r="D54" s="521"/>
      <c r="E54" s="521"/>
      <c r="F54" s="521"/>
      <c r="G54" s="521"/>
      <c r="H54" s="521"/>
      <c r="I54" s="521"/>
    </row>
    <row r="55" spans="2:9" ht="15.75" x14ac:dyDescent="0.25">
      <c r="B55" s="520" t="s">
        <v>692</v>
      </c>
      <c r="C55" s="521"/>
      <c r="D55" s="521"/>
      <c r="E55" s="521"/>
      <c r="F55" s="521"/>
      <c r="G55" s="521"/>
      <c r="H55" s="521"/>
      <c r="I55" s="521"/>
    </row>
    <row r="56" spans="2:9" ht="15.75" x14ac:dyDescent="0.25">
      <c r="B56" s="520" t="s">
        <v>693</v>
      </c>
      <c r="C56" s="521"/>
      <c r="D56" s="521"/>
      <c r="E56" s="521"/>
      <c r="F56" s="521"/>
      <c r="G56" s="521"/>
      <c r="H56" s="521"/>
      <c r="I56" s="521"/>
    </row>
    <row r="57" spans="2:9" x14ac:dyDescent="0.2">
      <c r="B57" s="521"/>
      <c r="C57" s="521"/>
      <c r="D57" s="521"/>
      <c r="E57" s="521"/>
      <c r="F57" s="521"/>
      <c r="G57" s="521"/>
      <c r="H57" s="521"/>
      <c r="I57" s="521"/>
    </row>
    <row r="58" spans="2:9" ht="15.75" x14ac:dyDescent="0.25">
      <c r="B58" s="522" t="s">
        <v>694</v>
      </c>
      <c r="C58" s="520"/>
      <c r="D58" s="520"/>
      <c r="E58" s="520"/>
      <c r="F58" s="520"/>
      <c r="G58" s="521"/>
      <c r="H58" s="521"/>
      <c r="I58" s="521"/>
    </row>
    <row r="59" spans="2:9" ht="15.75" x14ac:dyDescent="0.25">
      <c r="B59" s="520"/>
      <c r="C59" s="520"/>
      <c r="D59" s="520"/>
      <c r="E59" s="520"/>
      <c r="F59" s="520"/>
      <c r="G59" s="521"/>
      <c r="H59" s="521"/>
      <c r="I59" s="521"/>
    </row>
    <row r="60" spans="2:9" ht="15.75" x14ac:dyDescent="0.25">
      <c r="B60" s="520" t="s">
        <v>695</v>
      </c>
      <c r="C60" s="520"/>
      <c r="D60" s="520"/>
      <c r="E60" s="520"/>
      <c r="F60" s="520"/>
      <c r="G60" s="521"/>
      <c r="H60" s="521"/>
      <c r="I60" s="521"/>
    </row>
    <row r="61" spans="2:9" ht="15.75" x14ac:dyDescent="0.25">
      <c r="B61" s="520" t="s">
        <v>696</v>
      </c>
      <c r="C61" s="520"/>
      <c r="D61" s="520"/>
      <c r="E61" s="520"/>
      <c r="F61" s="520"/>
      <c r="G61" s="521"/>
      <c r="H61" s="521"/>
      <c r="I61" s="521"/>
    </row>
    <row r="62" spans="2:9" ht="15.75" x14ac:dyDescent="0.25">
      <c r="B62" s="520" t="s">
        <v>697</v>
      </c>
      <c r="C62" s="520"/>
      <c r="D62" s="520"/>
      <c r="E62" s="520"/>
      <c r="F62" s="520"/>
      <c r="G62" s="521"/>
      <c r="H62" s="521"/>
      <c r="I62" s="521"/>
    </row>
    <row r="63" spans="2:9" ht="15.75" x14ac:dyDescent="0.25">
      <c r="B63" s="520" t="s">
        <v>698</v>
      </c>
      <c r="C63" s="520"/>
      <c r="D63" s="520"/>
      <c r="E63" s="520"/>
      <c r="F63" s="520"/>
      <c r="G63" s="521"/>
      <c r="H63" s="521"/>
      <c r="I63" s="521"/>
    </row>
    <row r="64" spans="2:9" x14ac:dyDescent="0.2">
      <c r="B64" s="523"/>
      <c r="C64" s="523"/>
      <c r="D64" s="523"/>
      <c r="E64" s="523"/>
      <c r="F64" s="523"/>
      <c r="G64" s="521"/>
      <c r="H64" s="521"/>
      <c r="I64" s="521"/>
    </row>
    <row r="65" spans="2:9" ht="15.75" x14ac:dyDescent="0.25">
      <c r="B65" s="520" t="s">
        <v>699</v>
      </c>
      <c r="C65" s="523"/>
      <c r="D65" s="523"/>
      <c r="E65" s="523"/>
      <c r="F65" s="523"/>
      <c r="G65" s="521"/>
      <c r="H65" s="521"/>
      <c r="I65" s="521"/>
    </row>
    <row r="66" spans="2:9" ht="15.75" x14ac:dyDescent="0.25">
      <c r="B66" s="520" t="s">
        <v>700</v>
      </c>
      <c r="C66" s="523"/>
      <c r="D66" s="523"/>
      <c r="E66" s="523"/>
      <c r="F66" s="523"/>
      <c r="G66" s="521"/>
      <c r="H66" s="521"/>
      <c r="I66" s="521"/>
    </row>
    <row r="67" spans="2:9" x14ac:dyDescent="0.2">
      <c r="B67" s="523"/>
      <c r="C67" s="523"/>
      <c r="D67" s="523"/>
      <c r="E67" s="523"/>
      <c r="F67" s="523"/>
      <c r="G67" s="521"/>
      <c r="H67" s="521"/>
      <c r="I67" s="521"/>
    </row>
    <row r="68" spans="2:9" ht="15.75" x14ac:dyDescent="0.25">
      <c r="B68" s="520" t="s">
        <v>701</v>
      </c>
      <c r="C68" s="523"/>
      <c r="D68" s="523"/>
      <c r="E68" s="523"/>
      <c r="F68" s="523"/>
      <c r="G68" s="521"/>
      <c r="H68" s="521"/>
      <c r="I68" s="521"/>
    </row>
    <row r="69" spans="2:9" ht="15.75" x14ac:dyDescent="0.25">
      <c r="B69" s="520" t="s">
        <v>702</v>
      </c>
      <c r="C69" s="523"/>
      <c r="D69" s="523"/>
      <c r="E69" s="523"/>
      <c r="F69" s="523"/>
      <c r="G69" s="521"/>
      <c r="H69" s="521"/>
      <c r="I69" s="521"/>
    </row>
    <row r="70" spans="2:9" x14ac:dyDescent="0.2">
      <c r="B70" s="523"/>
      <c r="C70" s="523"/>
      <c r="D70" s="523"/>
      <c r="E70" s="523"/>
      <c r="F70" s="523"/>
      <c r="G70" s="521"/>
      <c r="H70" s="521"/>
      <c r="I70" s="521"/>
    </row>
    <row r="71" spans="2:9" ht="15.75" x14ac:dyDescent="0.25">
      <c r="B71" s="522" t="s">
        <v>703</v>
      </c>
      <c r="C71" s="523"/>
      <c r="D71" s="523"/>
      <c r="E71" s="523"/>
      <c r="F71" s="523"/>
      <c r="G71" s="521"/>
      <c r="H71" s="521"/>
      <c r="I71" s="521"/>
    </row>
    <row r="72" spans="2:9" x14ac:dyDescent="0.2">
      <c r="B72" s="523"/>
      <c r="C72" s="523"/>
      <c r="D72" s="523"/>
      <c r="E72" s="523"/>
      <c r="F72" s="523"/>
      <c r="G72" s="521"/>
      <c r="H72" s="521"/>
      <c r="I72" s="521"/>
    </row>
    <row r="73" spans="2:9" ht="15.75" x14ac:dyDescent="0.25">
      <c r="B73" s="520" t="s">
        <v>704</v>
      </c>
      <c r="C73" s="523"/>
      <c r="D73" s="523"/>
      <c r="E73" s="523"/>
      <c r="F73" s="523"/>
      <c r="G73" s="521"/>
      <c r="H73" s="521"/>
      <c r="I73" s="521"/>
    </row>
    <row r="74" spans="2:9" ht="15.75" x14ac:dyDescent="0.25">
      <c r="B74" s="520" t="s">
        <v>705</v>
      </c>
      <c r="C74" s="523"/>
      <c r="D74" s="523"/>
      <c r="E74" s="523"/>
      <c r="F74" s="523"/>
      <c r="G74" s="521"/>
      <c r="H74" s="521"/>
      <c r="I74" s="521"/>
    </row>
    <row r="75" spans="2:9" x14ac:dyDescent="0.2">
      <c r="B75" s="523"/>
      <c r="C75" s="523"/>
      <c r="D75" s="523"/>
      <c r="E75" s="523"/>
      <c r="F75" s="523"/>
      <c r="G75" s="521"/>
      <c r="H75" s="521"/>
      <c r="I75" s="521"/>
    </row>
    <row r="76" spans="2:9" ht="15.75" x14ac:dyDescent="0.25">
      <c r="B76" s="522" t="s">
        <v>706</v>
      </c>
      <c r="C76" s="523"/>
      <c r="D76" s="523"/>
      <c r="E76" s="523"/>
      <c r="F76" s="523"/>
      <c r="G76" s="521"/>
      <c r="H76" s="521"/>
      <c r="I76" s="521"/>
    </row>
    <row r="77" spans="2:9" x14ac:dyDescent="0.2">
      <c r="B77" s="523"/>
      <c r="C77" s="523"/>
      <c r="D77" s="523"/>
      <c r="E77" s="523"/>
      <c r="F77" s="523"/>
      <c r="G77" s="521"/>
      <c r="H77" s="521"/>
      <c r="I77" s="521"/>
    </row>
    <row r="78" spans="2:9" ht="15.75" x14ac:dyDescent="0.25">
      <c r="B78" s="520" t="str">
        <f>CONCATENATE("If the ",G14," municipal budget has not been published and has not been submitted to the County")</f>
        <v>If the 2023 municipal budget has not been published and has not been submitted to the County</v>
      </c>
      <c r="C78" s="523"/>
      <c r="D78" s="523"/>
      <c r="E78" s="523"/>
      <c r="F78" s="523"/>
      <c r="G78" s="521"/>
      <c r="H78" s="521"/>
      <c r="I78" s="521"/>
    </row>
    <row r="79" spans="2:9" ht="15.75" x14ac:dyDescent="0.25">
      <c r="B79" s="520" t="s">
        <v>707</v>
      </c>
      <c r="C79" s="523"/>
      <c r="D79" s="523"/>
      <c r="E79" s="523"/>
      <c r="F79" s="523"/>
      <c r="G79" s="521"/>
      <c r="H79" s="521"/>
      <c r="I79" s="521"/>
    </row>
    <row r="80" spans="2:9" x14ac:dyDescent="0.2">
      <c r="B80" s="523"/>
      <c r="C80" s="523"/>
      <c r="D80" s="523"/>
      <c r="E80" s="523"/>
      <c r="F80" s="523"/>
      <c r="G80" s="521"/>
      <c r="H80" s="521"/>
      <c r="I80" s="521"/>
    </row>
    <row r="81" spans="2:9" ht="15.75" x14ac:dyDescent="0.25">
      <c r="B81" s="522" t="s">
        <v>305</v>
      </c>
      <c r="C81" s="523"/>
      <c r="D81" s="523"/>
      <c r="E81" s="523"/>
      <c r="F81" s="523"/>
      <c r="G81" s="521"/>
      <c r="H81" s="521"/>
      <c r="I81" s="521"/>
    </row>
    <row r="82" spans="2:9" x14ac:dyDescent="0.2">
      <c r="B82" s="523"/>
      <c r="C82" s="523"/>
      <c r="D82" s="523"/>
      <c r="E82" s="523"/>
      <c r="F82" s="523"/>
      <c r="G82" s="521"/>
      <c r="H82" s="521"/>
      <c r="I82" s="521"/>
    </row>
    <row r="83" spans="2:9" ht="15.75" x14ac:dyDescent="0.25">
      <c r="B83" s="520" t="s">
        <v>708</v>
      </c>
      <c r="C83" s="523"/>
      <c r="D83" s="523"/>
      <c r="E83" s="523"/>
      <c r="F83" s="523"/>
      <c r="G83" s="521"/>
      <c r="H83" s="521"/>
      <c r="I83" s="521"/>
    </row>
    <row r="84" spans="2:9" ht="15.75" x14ac:dyDescent="0.25">
      <c r="B84" s="520" t="str">
        <f>CONCATENATE("Budget Year ",G14," is equal to or greater than that for Current Year Estimate ",E14,".")</f>
        <v>Budget Year 2023 is equal to or greater than that for Current Year Estimate 2022.</v>
      </c>
      <c r="C84" s="523"/>
      <c r="D84" s="523"/>
      <c r="E84" s="523"/>
      <c r="F84" s="523"/>
      <c r="G84" s="521"/>
      <c r="H84" s="521"/>
      <c r="I84" s="521"/>
    </row>
    <row r="85" spans="2:9" x14ac:dyDescent="0.2">
      <c r="B85" s="523"/>
      <c r="C85" s="523"/>
      <c r="D85" s="523"/>
      <c r="E85" s="523"/>
      <c r="F85" s="523"/>
      <c r="G85" s="521"/>
      <c r="H85" s="521"/>
      <c r="I85" s="521"/>
    </row>
    <row r="86" spans="2:9" ht="15.75" x14ac:dyDescent="0.25">
      <c r="B86" s="520" t="s">
        <v>709</v>
      </c>
      <c r="C86" s="523"/>
      <c r="D86" s="523"/>
      <c r="E86" s="523"/>
      <c r="F86" s="523"/>
      <c r="G86" s="521"/>
      <c r="H86" s="521"/>
      <c r="I86" s="521"/>
    </row>
    <row r="87" spans="2:9" ht="15.75" x14ac:dyDescent="0.25">
      <c r="B87" s="520" t="s">
        <v>710</v>
      </c>
      <c r="C87" s="523"/>
      <c r="D87" s="523"/>
      <c r="E87" s="523"/>
      <c r="F87" s="523"/>
      <c r="G87" s="521"/>
      <c r="H87" s="521"/>
      <c r="I87" s="521"/>
    </row>
    <row r="88" spans="2:9" ht="15.75" x14ac:dyDescent="0.25">
      <c r="B88" s="520" t="s">
        <v>711</v>
      </c>
      <c r="C88" s="523"/>
      <c r="D88" s="523"/>
      <c r="E88" s="523"/>
      <c r="F88" s="523"/>
      <c r="G88" s="521"/>
      <c r="H88" s="521"/>
      <c r="I88" s="521"/>
    </row>
    <row r="89" spans="2:9" ht="15.75" x14ac:dyDescent="0.25">
      <c r="B89" s="520" t="str">
        <f>CONCATENATE("purpose for the previous (",E14,") year.")</f>
        <v>purpose for the previous (2022) year.</v>
      </c>
      <c r="C89" s="523"/>
      <c r="D89" s="523"/>
      <c r="E89" s="523"/>
      <c r="F89" s="523"/>
      <c r="G89" s="521"/>
      <c r="H89" s="521"/>
      <c r="I89" s="521"/>
    </row>
    <row r="90" spans="2:9" x14ac:dyDescent="0.2">
      <c r="B90" s="523"/>
      <c r="C90" s="523"/>
      <c r="D90" s="523"/>
      <c r="E90" s="523"/>
      <c r="F90" s="523"/>
      <c r="G90" s="521"/>
      <c r="H90" s="521"/>
      <c r="I90" s="521"/>
    </row>
    <row r="91" spans="2:9" ht="15.75" x14ac:dyDescent="0.25">
      <c r="B91" s="520" t="str">
        <f>CONCATENATE("Next, look to see if delinquent tax for ",G14," is budgeted. Often this line is budgeted at $0 or left")</f>
        <v>Next, look to see if delinquent tax for 2023 is budgeted. Often this line is budgeted at $0 or left</v>
      </c>
      <c r="C91" s="523"/>
      <c r="D91" s="523"/>
      <c r="E91" s="523"/>
      <c r="F91" s="523"/>
      <c r="G91" s="521"/>
      <c r="H91" s="521"/>
      <c r="I91" s="521"/>
    </row>
    <row r="92" spans="2:9" ht="15.75" x14ac:dyDescent="0.25">
      <c r="B92" s="520" t="s">
        <v>712</v>
      </c>
      <c r="C92" s="523"/>
      <c r="D92" s="523"/>
      <c r="E92" s="523"/>
      <c r="F92" s="523"/>
      <c r="G92" s="521"/>
      <c r="H92" s="521"/>
      <c r="I92" s="521"/>
    </row>
    <row r="93" spans="2:9" ht="15.75" x14ac:dyDescent="0.25">
      <c r="B93" s="520" t="s">
        <v>713</v>
      </c>
      <c r="C93" s="523"/>
      <c r="D93" s="523"/>
      <c r="E93" s="523"/>
      <c r="F93" s="523"/>
      <c r="G93" s="521"/>
      <c r="H93" s="521"/>
      <c r="I93" s="521"/>
    </row>
    <row r="94" spans="2:9" ht="15.75" x14ac:dyDescent="0.25">
      <c r="B94" s="520" t="s">
        <v>714</v>
      </c>
      <c r="C94" s="523"/>
      <c r="D94" s="523"/>
      <c r="E94" s="523"/>
      <c r="F94" s="523"/>
      <c r="G94" s="521"/>
      <c r="H94" s="521"/>
      <c r="I94" s="521"/>
    </row>
    <row r="95" spans="2:9" x14ac:dyDescent="0.2">
      <c r="B95" s="523"/>
      <c r="C95" s="523"/>
      <c r="D95" s="523"/>
      <c r="E95" s="523"/>
      <c r="F95" s="523"/>
      <c r="G95" s="521"/>
      <c r="H95" s="521"/>
      <c r="I95" s="521"/>
    </row>
    <row r="96" spans="2:9" ht="15.75" x14ac:dyDescent="0.25">
      <c r="B96" s="522" t="s">
        <v>715</v>
      </c>
      <c r="C96" s="523"/>
      <c r="D96" s="523"/>
      <c r="E96" s="523"/>
      <c r="F96" s="523"/>
      <c r="G96" s="521"/>
      <c r="H96" s="521"/>
      <c r="I96" s="521"/>
    </row>
    <row r="97" spans="2:9" x14ac:dyDescent="0.2">
      <c r="B97" s="523"/>
      <c r="C97" s="523"/>
      <c r="D97" s="523"/>
      <c r="E97" s="523"/>
      <c r="F97" s="523"/>
      <c r="G97" s="521"/>
      <c r="H97" s="521"/>
      <c r="I97" s="521"/>
    </row>
    <row r="98" spans="2:9" ht="15.75" x14ac:dyDescent="0.25">
      <c r="B98" s="520" t="s">
        <v>716</v>
      </c>
      <c r="C98" s="523"/>
      <c r="D98" s="523"/>
      <c r="E98" s="523"/>
      <c r="F98" s="523"/>
      <c r="G98" s="521"/>
      <c r="H98" s="521"/>
      <c r="I98" s="521"/>
    </row>
    <row r="99" spans="2:9" ht="15.75" x14ac:dyDescent="0.25">
      <c r="B99" s="520" t="s">
        <v>717</v>
      </c>
      <c r="C99" s="523"/>
      <c r="D99" s="523"/>
      <c r="E99" s="523"/>
      <c r="F99" s="523"/>
      <c r="G99" s="521"/>
      <c r="H99" s="521"/>
      <c r="I99" s="521"/>
    </row>
    <row r="100" spans="2:9" x14ac:dyDescent="0.2">
      <c r="B100" s="523"/>
      <c r="C100" s="523"/>
      <c r="D100" s="523"/>
      <c r="E100" s="523"/>
      <c r="F100" s="523"/>
      <c r="G100" s="521"/>
      <c r="H100" s="521"/>
      <c r="I100" s="521"/>
    </row>
    <row r="101" spans="2:9" ht="15.75" x14ac:dyDescent="0.25">
      <c r="B101" s="520" t="s">
        <v>718</v>
      </c>
      <c r="C101" s="523"/>
      <c r="D101" s="523"/>
      <c r="E101" s="523"/>
      <c r="F101" s="523"/>
      <c r="G101" s="521"/>
      <c r="H101" s="521"/>
      <c r="I101" s="521"/>
    </row>
    <row r="102" spans="2:9" ht="15.75" x14ac:dyDescent="0.25">
      <c r="B102" s="520" t="s">
        <v>719</v>
      </c>
      <c r="C102" s="523"/>
      <c r="D102" s="523"/>
      <c r="E102" s="523"/>
      <c r="F102" s="523"/>
      <c r="G102" s="521"/>
      <c r="H102" s="521"/>
      <c r="I102" s="521"/>
    </row>
    <row r="103" spans="2:9" ht="15.75" x14ac:dyDescent="0.25">
      <c r="B103" s="520" t="s">
        <v>720</v>
      </c>
      <c r="C103" s="523"/>
      <c r="D103" s="523"/>
      <c r="E103" s="523"/>
      <c r="F103" s="523"/>
      <c r="G103" s="521"/>
      <c r="H103" s="521"/>
      <c r="I103" s="521"/>
    </row>
    <row r="104" spans="2:9" ht="15.75" x14ac:dyDescent="0.25">
      <c r="B104" s="520" t="s">
        <v>721</v>
      </c>
      <c r="C104" s="523"/>
      <c r="D104" s="523"/>
      <c r="E104" s="523"/>
      <c r="F104" s="523"/>
      <c r="G104" s="521"/>
      <c r="H104" s="521"/>
      <c r="I104" s="521"/>
    </row>
    <row r="105" spans="2:9" x14ac:dyDescent="0.2">
      <c r="B105" s="589" t="s">
        <v>859</v>
      </c>
      <c r="C105" s="588"/>
      <c r="D105" s="588"/>
      <c r="E105" s="588"/>
      <c r="F105" s="588"/>
      <c r="G105" s="587"/>
      <c r="H105" s="587"/>
      <c r="I105" s="587"/>
    </row>
    <row r="108" spans="2:9" x14ac:dyDescent="0.2">
      <c r="G108" s="529"/>
    </row>
  </sheetData>
  <sheetProtection sheet="1" objects="1" scenarios="1"/>
  <mergeCells count="6">
    <mergeCell ref="B43:I43"/>
    <mergeCell ref="B2:I2"/>
    <mergeCell ref="B3:I3"/>
    <mergeCell ref="B5:I5"/>
    <mergeCell ref="B10:I10"/>
    <mergeCell ref="B36:I36"/>
  </mergeCells>
  <hyperlinks>
    <hyperlink ref="B105" r:id="rId1" xr:uid="{00000000-0004-0000-0A00-000000000000}"/>
  </hyperlinks>
  <pageMargins left="0.7" right="0.7" top="0.75" bottom="0.75" header="0.25" footer="0.25"/>
  <pageSetup scale="80" orientation="portrait" blackAndWhite="1" r:id="rId2"/>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00B0F0"/>
  </sheetPr>
  <dimension ref="B1:K143"/>
  <sheetViews>
    <sheetView topLeftCell="A67" zoomScaleNormal="100" workbookViewId="0">
      <selection activeCell="D9" sqref="D9"/>
    </sheetView>
  </sheetViews>
  <sheetFormatPr defaultRowHeight="15.75" x14ac:dyDescent="0.2"/>
  <cols>
    <col min="1" max="1" width="2.44140625" style="7" customWidth="1"/>
    <col min="2" max="2" width="31.6640625" style="7" customWidth="1"/>
    <col min="3" max="4" width="15.77734375" style="7" customWidth="1"/>
    <col min="5" max="5" width="16.21875" style="7" customWidth="1"/>
    <col min="6" max="6" width="6.88671875" style="7" customWidth="1"/>
    <col min="7" max="7" width="10.21875" style="7" customWidth="1"/>
    <col min="8" max="8" width="8.88671875" style="7"/>
    <col min="9" max="9" width="5" style="7" customWidth="1"/>
    <col min="10" max="10" width="10" style="7" customWidth="1"/>
    <col min="11" max="16384" width="8.88671875" style="7"/>
  </cols>
  <sheetData>
    <row r="1" spans="2:5" x14ac:dyDescent="0.2">
      <c r="B1" s="112" t="str">
        <f>inputPrYr!D3</f>
        <v>Valley Falls</v>
      </c>
      <c r="C1" s="6"/>
      <c r="D1" s="6"/>
      <c r="E1" s="158">
        <f>inputPrYr!C6</f>
        <v>2023</v>
      </c>
    </row>
    <row r="2" spans="2:5" x14ac:dyDescent="0.2">
      <c r="B2" s="6"/>
      <c r="C2" s="6"/>
      <c r="D2" s="6"/>
      <c r="E2" s="108"/>
    </row>
    <row r="3" spans="2:5" x14ac:dyDescent="0.2">
      <c r="B3" s="17"/>
      <c r="C3" s="6"/>
      <c r="D3" s="6"/>
      <c r="E3" s="83"/>
    </row>
    <row r="4" spans="2:5" x14ac:dyDescent="0.2">
      <c r="B4" s="17" t="s">
        <v>84</v>
      </c>
      <c r="C4" s="165"/>
      <c r="D4" s="165"/>
      <c r="E4" s="165"/>
    </row>
    <row r="5" spans="2:5" x14ac:dyDescent="0.2">
      <c r="B5" s="110" t="s">
        <v>20</v>
      </c>
      <c r="C5" s="539" t="s">
        <v>665</v>
      </c>
      <c r="D5" s="540" t="s">
        <v>668</v>
      </c>
      <c r="E5" s="89" t="s">
        <v>669</v>
      </c>
    </row>
    <row r="6" spans="2:5" x14ac:dyDescent="0.2">
      <c r="B6" s="298" t="str">
        <f>inputPrYr!B19</f>
        <v>General</v>
      </c>
      <c r="C6" s="283" t="str">
        <f>CONCATENATE("Actual for ",E1-2,"")</f>
        <v>Actual for 2021</v>
      </c>
      <c r="D6" s="283" t="str">
        <f>CONCATENATE("Estimate for ",E1-1,"")</f>
        <v>Estimate for 2022</v>
      </c>
      <c r="E6" s="166" t="str">
        <f>CONCATENATE("Year for ",E1,"")</f>
        <v>Year for 2023</v>
      </c>
    </row>
    <row r="7" spans="2:5" x14ac:dyDescent="0.2">
      <c r="B7" s="167" t="s">
        <v>99</v>
      </c>
      <c r="C7" s="168">
        <v>18610</v>
      </c>
      <c r="D7" s="282">
        <f>C108</f>
        <v>17754</v>
      </c>
      <c r="E7" s="139">
        <f>D108</f>
        <v>21221</v>
      </c>
    </row>
    <row r="8" spans="2:5" x14ac:dyDescent="0.2">
      <c r="B8" s="170" t="s">
        <v>101</v>
      </c>
      <c r="C8" s="103"/>
      <c r="D8" s="103"/>
      <c r="E8" s="41"/>
    </row>
    <row r="9" spans="2:5" x14ac:dyDescent="0.2">
      <c r="B9" s="167" t="s">
        <v>21</v>
      </c>
      <c r="C9" s="168">
        <v>234091</v>
      </c>
      <c r="D9" s="282">
        <f>IF(inputPrYr!H21&gt;0,inputPrYr!G22,inputPrYr!E19)</f>
        <v>244504</v>
      </c>
      <c r="E9" s="173" t="s">
        <v>10</v>
      </c>
    </row>
    <row r="10" spans="2:5" x14ac:dyDescent="0.2">
      <c r="B10" s="167" t="s">
        <v>22</v>
      </c>
      <c r="C10" s="168">
        <v>10278</v>
      </c>
      <c r="D10" s="168">
        <v>12439</v>
      </c>
      <c r="E10" s="174">
        <v>4657</v>
      </c>
    </row>
    <row r="11" spans="2:5" x14ac:dyDescent="0.2">
      <c r="B11" s="167" t="s">
        <v>23</v>
      </c>
      <c r="C11" s="168">
        <v>33373</v>
      </c>
      <c r="D11" s="168">
        <v>26967</v>
      </c>
      <c r="E11" s="139">
        <f>Mvalloc!D7</f>
        <v>30257</v>
      </c>
    </row>
    <row r="12" spans="2:5" x14ac:dyDescent="0.2">
      <c r="B12" s="167" t="s">
        <v>24</v>
      </c>
      <c r="C12" s="168">
        <v>362</v>
      </c>
      <c r="D12" s="168">
        <v>317</v>
      </c>
      <c r="E12" s="139">
        <f>Mvalloc!E7</f>
        <v>373</v>
      </c>
    </row>
    <row r="13" spans="2:5" x14ac:dyDescent="0.2">
      <c r="B13" s="167" t="s">
        <v>91</v>
      </c>
      <c r="C13" s="168"/>
      <c r="D13" s="168">
        <v>203</v>
      </c>
      <c r="E13" s="139">
        <f>Mvalloc!F7</f>
        <v>67</v>
      </c>
    </row>
    <row r="14" spans="2:5" x14ac:dyDescent="0.2">
      <c r="B14" s="646" t="s">
        <v>819</v>
      </c>
      <c r="C14" s="168"/>
      <c r="D14" s="168">
        <v>1604</v>
      </c>
      <c r="E14" s="139">
        <f>Mvalloc!G7</f>
        <v>823</v>
      </c>
    </row>
    <row r="15" spans="2:5" x14ac:dyDescent="0.2">
      <c r="B15" s="646" t="s">
        <v>820</v>
      </c>
      <c r="C15" s="168"/>
      <c r="D15" s="168">
        <v>0</v>
      </c>
      <c r="E15" s="139">
        <f>Mvalloc!H7</f>
        <v>0</v>
      </c>
    </row>
    <row r="16" spans="2:5" x14ac:dyDescent="0.2">
      <c r="B16" s="167" t="s">
        <v>92</v>
      </c>
      <c r="C16" s="168"/>
      <c r="D16" s="168">
        <v>0</v>
      </c>
      <c r="E16" s="139">
        <f>inputOth!E17</f>
        <v>0</v>
      </c>
    </row>
    <row r="17" spans="2:5" x14ac:dyDescent="0.2">
      <c r="B17" s="167" t="s">
        <v>114</v>
      </c>
      <c r="C17" s="168"/>
      <c r="D17" s="168">
        <v>0</v>
      </c>
      <c r="E17" s="139">
        <f>inputOth!E47</f>
        <v>0</v>
      </c>
    </row>
    <row r="18" spans="2:5" x14ac:dyDescent="0.2">
      <c r="B18" s="167" t="s">
        <v>115</v>
      </c>
      <c r="C18" s="168"/>
      <c r="D18" s="168">
        <v>0</v>
      </c>
      <c r="E18" s="139">
        <f>inputOth!E48</f>
        <v>0</v>
      </c>
    </row>
    <row r="19" spans="2:5" x14ac:dyDescent="0.2">
      <c r="B19" s="801" t="s">
        <v>1073</v>
      </c>
      <c r="C19" s="168">
        <v>111083</v>
      </c>
      <c r="D19" s="168">
        <v>0</v>
      </c>
      <c r="E19" s="26">
        <v>0</v>
      </c>
    </row>
    <row r="20" spans="2:5" x14ac:dyDescent="0.2">
      <c r="B20" s="175" t="s">
        <v>1074</v>
      </c>
      <c r="C20" s="168">
        <v>86175</v>
      </c>
      <c r="D20" s="168">
        <v>164000</v>
      </c>
      <c r="E20" s="26">
        <v>164000</v>
      </c>
    </row>
    <row r="21" spans="2:5" x14ac:dyDescent="0.2">
      <c r="B21" s="802" t="s">
        <v>1075</v>
      </c>
      <c r="C21" s="168"/>
      <c r="D21" s="168">
        <v>17</v>
      </c>
      <c r="E21" s="26">
        <v>17</v>
      </c>
    </row>
    <row r="22" spans="2:5" x14ac:dyDescent="0.2">
      <c r="B22" s="175" t="s">
        <v>1076</v>
      </c>
      <c r="C22" s="168"/>
      <c r="D22" s="168">
        <v>0</v>
      </c>
      <c r="E22" s="26">
        <v>11500</v>
      </c>
    </row>
    <row r="23" spans="2:5" x14ac:dyDescent="0.2">
      <c r="B23" s="175" t="s">
        <v>1077</v>
      </c>
      <c r="C23" s="168"/>
      <c r="D23" s="168">
        <v>0</v>
      </c>
      <c r="E23" s="26">
        <v>0</v>
      </c>
    </row>
    <row r="24" spans="2:5" x14ac:dyDescent="0.2">
      <c r="B24" s="175" t="s">
        <v>1078</v>
      </c>
      <c r="C24" s="168"/>
      <c r="D24" s="168">
        <v>0</v>
      </c>
      <c r="E24" s="26">
        <v>0</v>
      </c>
    </row>
    <row r="25" spans="2:5" x14ac:dyDescent="0.2">
      <c r="B25" s="175" t="s">
        <v>1079</v>
      </c>
      <c r="C25" s="168"/>
      <c r="D25" s="168">
        <v>2000</v>
      </c>
      <c r="E25" s="26">
        <v>2000</v>
      </c>
    </row>
    <row r="26" spans="2:5" x14ac:dyDescent="0.25">
      <c r="B26" s="803" t="s">
        <v>1080</v>
      </c>
      <c r="C26" s="168">
        <v>987</v>
      </c>
      <c r="D26" s="168">
        <v>2000</v>
      </c>
      <c r="E26" s="26">
        <v>2000</v>
      </c>
    </row>
    <row r="27" spans="2:5" x14ac:dyDescent="0.2">
      <c r="B27" s="175" t="s">
        <v>1081</v>
      </c>
      <c r="C27" s="168">
        <v>52653</v>
      </c>
      <c r="D27" s="168">
        <v>50000</v>
      </c>
      <c r="E27" s="26">
        <v>50000</v>
      </c>
    </row>
    <row r="28" spans="2:5" x14ac:dyDescent="0.2">
      <c r="B28" s="175" t="s">
        <v>1082</v>
      </c>
      <c r="C28" s="168"/>
      <c r="D28" s="168">
        <v>0</v>
      </c>
      <c r="E28" s="26">
        <v>0</v>
      </c>
    </row>
    <row r="29" spans="2:5" x14ac:dyDescent="0.2">
      <c r="B29" s="175" t="s">
        <v>1083</v>
      </c>
      <c r="C29" s="168">
        <v>13300</v>
      </c>
      <c r="D29" s="168">
        <v>12000</v>
      </c>
      <c r="E29" s="26">
        <v>40000</v>
      </c>
    </row>
    <row r="30" spans="2:5" x14ac:dyDescent="0.2">
      <c r="B30" s="175" t="s">
        <v>1084</v>
      </c>
      <c r="C30" s="168"/>
      <c r="D30" s="168">
        <v>10000</v>
      </c>
      <c r="E30" s="26">
        <v>2000</v>
      </c>
    </row>
    <row r="31" spans="2:5" x14ac:dyDescent="0.2">
      <c r="B31" s="804" t="s">
        <v>1085</v>
      </c>
      <c r="C31" s="168">
        <v>33892</v>
      </c>
      <c r="D31" s="168">
        <v>10000</v>
      </c>
      <c r="E31" s="26">
        <v>12000</v>
      </c>
    </row>
    <row r="32" spans="2:5" x14ac:dyDescent="0.2">
      <c r="B32" s="804" t="s">
        <v>1086</v>
      </c>
      <c r="C32" s="168"/>
      <c r="D32" s="168">
        <v>5000</v>
      </c>
      <c r="E32" s="26">
        <v>11000</v>
      </c>
    </row>
    <row r="33" spans="2:5" x14ac:dyDescent="0.2">
      <c r="B33" s="804" t="s">
        <v>1087</v>
      </c>
      <c r="C33" s="168"/>
      <c r="D33" s="168">
        <v>1000</v>
      </c>
      <c r="E33" s="26">
        <v>1000</v>
      </c>
    </row>
    <row r="34" spans="2:5" x14ac:dyDescent="0.2">
      <c r="B34" s="804" t="s">
        <v>1088</v>
      </c>
      <c r="C34" s="168"/>
      <c r="D34" s="168">
        <v>1000</v>
      </c>
      <c r="E34" s="26">
        <v>8000</v>
      </c>
    </row>
    <row r="35" spans="2:5" x14ac:dyDescent="0.2">
      <c r="B35" s="804" t="s">
        <v>1089</v>
      </c>
      <c r="C35" s="168"/>
      <c r="D35" s="168">
        <v>1000</v>
      </c>
      <c r="E35" s="26">
        <v>0</v>
      </c>
    </row>
    <row r="36" spans="2:5" x14ac:dyDescent="0.2">
      <c r="B36" s="804" t="s">
        <v>1090</v>
      </c>
      <c r="C36" s="168"/>
      <c r="D36" s="168">
        <v>2000</v>
      </c>
      <c r="E36" s="26">
        <v>12000</v>
      </c>
    </row>
    <row r="37" spans="2:5" x14ac:dyDescent="0.2">
      <c r="B37" s="804" t="s">
        <v>1091</v>
      </c>
      <c r="C37" s="168"/>
      <c r="D37" s="168">
        <v>0</v>
      </c>
      <c r="E37" s="26">
        <v>2000</v>
      </c>
    </row>
    <row r="38" spans="2:5" x14ac:dyDescent="0.2">
      <c r="B38" s="804" t="s">
        <v>1092</v>
      </c>
      <c r="C38" s="168"/>
      <c r="D38" s="168">
        <v>0</v>
      </c>
      <c r="E38" s="26">
        <v>15000</v>
      </c>
    </row>
    <row r="39" spans="2:5" x14ac:dyDescent="0.2">
      <c r="B39" s="804" t="s">
        <v>1093</v>
      </c>
      <c r="C39" s="168"/>
      <c r="D39" s="168">
        <v>0</v>
      </c>
      <c r="E39" s="26">
        <v>0</v>
      </c>
    </row>
    <row r="40" spans="2:5" x14ac:dyDescent="0.2">
      <c r="B40" s="804" t="s">
        <v>1094</v>
      </c>
      <c r="C40" s="168"/>
      <c r="D40" s="168">
        <v>20000</v>
      </c>
      <c r="E40" s="26">
        <v>15000</v>
      </c>
    </row>
    <row r="41" spans="2:5" x14ac:dyDescent="0.2">
      <c r="B41" s="804" t="s">
        <v>1095</v>
      </c>
      <c r="C41" s="168">
        <v>431</v>
      </c>
      <c r="D41" s="168">
        <v>2500</v>
      </c>
      <c r="E41" s="26">
        <v>2000</v>
      </c>
    </row>
    <row r="42" spans="2:5" x14ac:dyDescent="0.2">
      <c r="B42" s="804" t="s">
        <v>1096</v>
      </c>
      <c r="C42" s="168">
        <v>0</v>
      </c>
      <c r="D42" s="168">
        <v>20000</v>
      </c>
      <c r="E42" s="26">
        <v>10000</v>
      </c>
    </row>
    <row r="43" spans="2:5" x14ac:dyDescent="0.2">
      <c r="B43" s="804" t="s">
        <v>1097</v>
      </c>
      <c r="C43" s="168">
        <v>17829</v>
      </c>
      <c r="D43" s="168">
        <v>0</v>
      </c>
      <c r="E43" s="26">
        <v>0</v>
      </c>
    </row>
    <row r="44" spans="2:5" x14ac:dyDescent="0.2">
      <c r="B44" s="804" t="s">
        <v>1098</v>
      </c>
      <c r="C44" s="168">
        <v>25148</v>
      </c>
      <c r="D44" s="168">
        <v>13000</v>
      </c>
      <c r="E44" s="26">
        <v>2000</v>
      </c>
    </row>
    <row r="45" spans="2:5" x14ac:dyDescent="0.2">
      <c r="B45" s="804" t="s">
        <v>1099</v>
      </c>
      <c r="C45" s="168"/>
      <c r="D45" s="168">
        <v>88047</v>
      </c>
      <c r="E45" s="26">
        <v>100000</v>
      </c>
    </row>
    <row r="46" spans="2:5" x14ac:dyDescent="0.2">
      <c r="B46" s="171"/>
      <c r="C46" s="168"/>
      <c r="D46" s="168"/>
      <c r="E46" s="26"/>
    </row>
    <row r="47" spans="2:5" x14ac:dyDescent="0.2">
      <c r="B47" s="171"/>
      <c r="C47" s="168"/>
      <c r="D47" s="168"/>
      <c r="E47" s="26"/>
    </row>
    <row r="48" spans="2:5" x14ac:dyDescent="0.2">
      <c r="B48" s="171"/>
      <c r="C48" s="168"/>
      <c r="D48" s="168"/>
      <c r="E48" s="26"/>
    </row>
    <row r="49" spans="2:5" x14ac:dyDescent="0.2">
      <c r="B49" s="171"/>
      <c r="C49" s="168"/>
      <c r="D49" s="168"/>
      <c r="E49" s="26"/>
    </row>
    <row r="50" spans="2:5" x14ac:dyDescent="0.2">
      <c r="B50" s="171"/>
      <c r="C50" s="168"/>
      <c r="D50" s="168"/>
      <c r="E50" s="26"/>
    </row>
    <row r="51" spans="2:5" x14ac:dyDescent="0.2">
      <c r="B51" s="171"/>
      <c r="C51" s="168"/>
      <c r="D51" s="168"/>
      <c r="E51" s="26"/>
    </row>
    <row r="52" spans="2:5" x14ac:dyDescent="0.2">
      <c r="B52" s="171"/>
      <c r="C52" s="168"/>
      <c r="D52" s="168"/>
      <c r="E52" s="26"/>
    </row>
    <row r="53" spans="2:5" x14ac:dyDescent="0.2">
      <c r="B53" s="171"/>
      <c r="C53" s="168"/>
      <c r="D53" s="168"/>
      <c r="E53" s="26"/>
    </row>
    <row r="54" spans="2:5" x14ac:dyDescent="0.2">
      <c r="B54" s="426" t="s">
        <v>25</v>
      </c>
      <c r="C54" s="168"/>
      <c r="D54" s="168"/>
      <c r="E54" s="26"/>
    </row>
    <row r="55" spans="2:5" x14ac:dyDescent="0.2">
      <c r="B55" s="175" t="s">
        <v>26</v>
      </c>
      <c r="C55" s="168"/>
      <c r="D55" s="168"/>
      <c r="E55" s="26"/>
    </row>
    <row r="56" spans="2:5" x14ac:dyDescent="0.2">
      <c r="B56" s="181" t="s">
        <v>193</v>
      </c>
      <c r="C56" s="168"/>
      <c r="D56" s="168"/>
      <c r="E56" s="673">
        <f>'NR Rebate'!E6*-1</f>
        <v>0</v>
      </c>
    </row>
    <row r="57" spans="2:5" x14ac:dyDescent="0.2">
      <c r="B57" s="103" t="s">
        <v>192</v>
      </c>
      <c r="C57" s="168"/>
      <c r="D57" s="26"/>
      <c r="E57" s="169"/>
    </row>
    <row r="58" spans="2:5" x14ac:dyDescent="0.2">
      <c r="B58" s="167" t="s">
        <v>654</v>
      </c>
      <c r="C58" s="280" t="str">
        <f>IF(C59*0.1&lt;C57,"Exceed 10% Rule","")</f>
        <v/>
      </c>
      <c r="D58" s="287" t="str">
        <f>IF(D59*0.1&lt;D57,"Exceed 10% Rule","")</f>
        <v/>
      </c>
      <c r="E58" s="176" t="str">
        <f>IF(E59*0.1+E114&lt;E57,"Exceed 10% Rule","")</f>
        <v/>
      </c>
    </row>
    <row r="59" spans="2:5" x14ac:dyDescent="0.2">
      <c r="B59" s="177" t="s">
        <v>27</v>
      </c>
      <c r="C59" s="198">
        <f>SUM(C9:C57)</f>
        <v>619602</v>
      </c>
      <c r="D59" s="198">
        <f>SUM(D9:D57)</f>
        <v>689598</v>
      </c>
      <c r="E59" s="198">
        <f>SUM(E10:E57)</f>
        <v>497694</v>
      </c>
    </row>
    <row r="60" spans="2:5" x14ac:dyDescent="0.2">
      <c r="B60" s="177" t="s">
        <v>28</v>
      </c>
      <c r="C60" s="198">
        <f>C7+C59</f>
        <v>638212</v>
      </c>
      <c r="D60" s="198">
        <f>D7+D59</f>
        <v>707352</v>
      </c>
      <c r="E60" s="198">
        <f>E7+E59</f>
        <v>518915</v>
      </c>
    </row>
    <row r="61" spans="2:5" x14ac:dyDescent="0.2">
      <c r="B61" s="6"/>
      <c r="C61" s="6"/>
      <c r="D61" s="6"/>
      <c r="E61" s="6"/>
    </row>
    <row r="62" spans="2:5" x14ac:dyDescent="0.2">
      <c r="B62" s="111"/>
      <c r="C62" s="83" t="s">
        <v>37</v>
      </c>
      <c r="D62" s="110">
        <f>IF(inputPrYr!D21&gt;0,7,6)</f>
        <v>6</v>
      </c>
      <c r="E62" s="111"/>
    </row>
    <row r="63" spans="2:5" x14ac:dyDescent="0.2">
      <c r="B63" s="111"/>
      <c r="C63" s="111"/>
      <c r="D63" s="111"/>
      <c r="E63" s="111"/>
    </row>
    <row r="64" spans="2:5" x14ac:dyDescent="0.2">
      <c r="B64" s="112" t="str">
        <f>inputPrYr!D3</f>
        <v>Valley Falls</v>
      </c>
      <c r="C64" s="6"/>
      <c r="D64" s="6"/>
      <c r="E64" s="108"/>
    </row>
    <row r="65" spans="2:6" x14ac:dyDescent="0.2">
      <c r="B65" s="6"/>
      <c r="C65" s="6"/>
      <c r="D65" s="6"/>
      <c r="E65" s="83"/>
    </row>
    <row r="66" spans="2:6" x14ac:dyDescent="0.2">
      <c r="B66" s="163" t="s">
        <v>83</v>
      </c>
      <c r="C66" s="133"/>
      <c r="D66" s="133"/>
      <c r="E66" s="133"/>
    </row>
    <row r="67" spans="2:6" x14ac:dyDescent="0.2">
      <c r="B67" s="6" t="s">
        <v>20</v>
      </c>
      <c r="C67" s="539" t="str">
        <f t="shared" ref="C67:E68" si="0">C5</f>
        <v xml:space="preserve">Prior Year </v>
      </c>
      <c r="D67" s="540" t="str">
        <f t="shared" si="0"/>
        <v xml:space="preserve">Current Year </v>
      </c>
      <c r="E67" s="89" t="str">
        <f t="shared" si="0"/>
        <v xml:space="preserve">Proposed Budget </v>
      </c>
    </row>
    <row r="68" spans="2:6" x14ac:dyDescent="0.2">
      <c r="B68" s="118" t="str">
        <f>inputPrYr!B19</f>
        <v>General</v>
      </c>
      <c r="C68" s="283" t="str">
        <f t="shared" si="0"/>
        <v>Actual for 2021</v>
      </c>
      <c r="D68" s="283" t="str">
        <f t="shared" si="0"/>
        <v>Estimate for 2022</v>
      </c>
      <c r="E68" s="166" t="str">
        <f t="shared" si="0"/>
        <v>Year for 2023</v>
      </c>
    </row>
    <row r="69" spans="2:6" x14ac:dyDescent="0.2">
      <c r="B69" s="178" t="s">
        <v>28</v>
      </c>
      <c r="C69" s="282">
        <f>C60</f>
        <v>638212</v>
      </c>
      <c r="D69" s="282">
        <f>D60</f>
        <v>707352</v>
      </c>
      <c r="E69" s="139">
        <f>E60</f>
        <v>518915</v>
      </c>
    </row>
    <row r="70" spans="2:6" x14ac:dyDescent="0.2">
      <c r="B70" s="167" t="s">
        <v>30</v>
      </c>
      <c r="C70" s="103"/>
      <c r="D70" s="103"/>
      <c r="E70" s="41"/>
    </row>
    <row r="71" spans="2:6" x14ac:dyDescent="0.2">
      <c r="B71" s="167" t="str">
        <f>'General Detail'!A7</f>
        <v>Administration</v>
      </c>
      <c r="C71" s="282">
        <f>'General Detail'!B15</f>
        <v>202037</v>
      </c>
      <c r="D71" s="282">
        <f>'General Detail'!C15</f>
        <v>269423</v>
      </c>
      <c r="E71" s="139">
        <f>'General Detail'!D15</f>
        <v>297065</v>
      </c>
    </row>
    <row r="72" spans="2:6" x14ac:dyDescent="0.2">
      <c r="B72" s="167" t="str">
        <f>'General Detail'!A16</f>
        <v>Police</v>
      </c>
      <c r="C72" s="282">
        <f>'General Detail'!B21</f>
        <v>200000</v>
      </c>
      <c r="D72" s="282">
        <f>'General Detail'!C21</f>
        <v>233499</v>
      </c>
      <c r="E72" s="139">
        <f>'General Detail'!D21</f>
        <v>251474</v>
      </c>
    </row>
    <row r="73" spans="2:6" x14ac:dyDescent="0.2">
      <c r="B73" s="167" t="str">
        <f>'General Detail'!A22</f>
        <v>Municipal Court</v>
      </c>
      <c r="C73" s="282">
        <f>'General Detail'!B27</f>
        <v>5616</v>
      </c>
      <c r="D73" s="282">
        <f>'General Detail'!C27</f>
        <v>13020</v>
      </c>
      <c r="E73" s="139">
        <f>'General Detail'!D27</f>
        <v>13820</v>
      </c>
    </row>
    <row r="74" spans="2:6" x14ac:dyDescent="0.2">
      <c r="B74" s="167" t="str">
        <f>'General Detail'!A28</f>
        <v>Streets</v>
      </c>
      <c r="C74" s="282">
        <f>'General Detail'!B33</f>
        <v>133013</v>
      </c>
      <c r="D74" s="282">
        <f>'General Detail'!C33</f>
        <v>87924</v>
      </c>
      <c r="E74" s="139">
        <f>'General Detail'!D33</f>
        <v>88542</v>
      </c>
    </row>
    <row r="75" spans="2:6" x14ac:dyDescent="0.2">
      <c r="B75" s="167" t="str">
        <f>'General Detail'!A34</f>
        <v>Parks</v>
      </c>
      <c r="C75" s="282">
        <f>'General Detail'!B39</f>
        <v>9792</v>
      </c>
      <c r="D75" s="282">
        <f>'General Detail'!C39</f>
        <v>5600</v>
      </c>
      <c r="E75" s="139">
        <f>'General Detail'!D39</f>
        <v>8100</v>
      </c>
    </row>
    <row r="76" spans="2:6" x14ac:dyDescent="0.2">
      <c r="B76" s="167" t="str">
        <f>'General Detail'!A40</f>
        <v>Municipal Pool</v>
      </c>
      <c r="C76" s="282">
        <f>'General Detail'!B45</f>
        <v>70000</v>
      </c>
      <c r="D76" s="282">
        <f>'General Detail'!C45</f>
        <v>76665</v>
      </c>
      <c r="E76" s="139">
        <f>'General Detail'!D45</f>
        <v>70700</v>
      </c>
    </row>
    <row r="77" spans="2:6" x14ac:dyDescent="0.2">
      <c r="B77" s="167">
        <f>'General Detail'!A46</f>
        <v>0</v>
      </c>
      <c r="C77" s="282">
        <f>'General Detail'!B51</f>
        <v>0</v>
      </c>
      <c r="D77" s="282">
        <f>'General Detail'!C51</f>
        <v>0</v>
      </c>
      <c r="E77" s="139">
        <f>'General Detail'!D51</f>
        <v>0</v>
      </c>
    </row>
    <row r="78" spans="2:6" x14ac:dyDescent="0.2">
      <c r="B78" s="167">
        <f>'General Detail'!A52</f>
        <v>0</v>
      </c>
      <c r="C78" s="282">
        <f>'General Detail'!B57</f>
        <v>0</v>
      </c>
      <c r="D78" s="282">
        <f>'General Detail'!C57</f>
        <v>0</v>
      </c>
      <c r="E78" s="139">
        <f>'General Detail'!D57</f>
        <v>0</v>
      </c>
      <c r="F78" s="179"/>
    </row>
    <row r="79" spans="2:6" x14ac:dyDescent="0.2">
      <c r="B79" s="167" t="s">
        <v>519</v>
      </c>
      <c r="C79" s="334">
        <f>SUM(C71:C78)</f>
        <v>620458</v>
      </c>
      <c r="D79" s="334">
        <f>SUM(D71:D78)</f>
        <v>686131</v>
      </c>
      <c r="E79" s="195">
        <f>SUM(E71:E78)</f>
        <v>729701</v>
      </c>
    </row>
    <row r="80" spans="2:6" x14ac:dyDescent="0.2">
      <c r="B80" s="180"/>
      <c r="C80" s="168"/>
      <c r="D80" s="168"/>
      <c r="E80" s="26"/>
    </row>
    <row r="81" spans="2:11" x14ac:dyDescent="0.2">
      <c r="B81" s="180"/>
      <c r="C81" s="168"/>
      <c r="D81" s="168"/>
      <c r="E81" s="26"/>
    </row>
    <row r="82" spans="2:11" x14ac:dyDescent="0.25">
      <c r="B82" s="805"/>
      <c r="C82" s="168"/>
      <c r="D82" s="168"/>
      <c r="E82" s="26"/>
    </row>
    <row r="83" spans="2:11" x14ac:dyDescent="0.25">
      <c r="B83" s="805"/>
      <c r="C83" s="168"/>
      <c r="D83" s="168"/>
      <c r="E83" s="26"/>
      <c r="G83" s="878" t="str">
        <f>CONCATENATE("Desired Carryover Into ",E1+1,"")</f>
        <v>Desired Carryover Into 2024</v>
      </c>
      <c r="H83" s="879"/>
      <c r="I83" s="879"/>
      <c r="J83" s="880"/>
    </row>
    <row r="84" spans="2:11" x14ac:dyDescent="0.25">
      <c r="B84" s="805"/>
      <c r="C84" s="168"/>
      <c r="D84" s="168"/>
      <c r="E84" s="26"/>
      <c r="G84" s="397"/>
      <c r="H84" s="396"/>
      <c r="I84" s="396"/>
      <c r="J84" s="398"/>
    </row>
    <row r="85" spans="2:11" x14ac:dyDescent="0.25">
      <c r="B85" s="805"/>
      <c r="C85" s="168"/>
      <c r="D85" s="168"/>
      <c r="E85" s="26"/>
      <c r="G85" s="329" t="s">
        <v>522</v>
      </c>
      <c r="H85" s="323"/>
      <c r="I85" s="323"/>
      <c r="J85" s="318">
        <v>0</v>
      </c>
    </row>
    <row r="86" spans="2:11" x14ac:dyDescent="0.25">
      <c r="B86" s="805"/>
      <c r="C86" s="168"/>
      <c r="D86" s="168"/>
      <c r="E86" s="26"/>
      <c r="G86" s="400" t="s">
        <v>523</v>
      </c>
      <c r="H86" s="316"/>
      <c r="I86" s="317"/>
      <c r="J86" s="395" t="str">
        <f>IF(J85=0,"",ROUND((J85+E114-G98)/inputOth!E7*1000,3)-G103)</f>
        <v/>
      </c>
    </row>
    <row r="87" spans="2:11" x14ac:dyDescent="0.2">
      <c r="B87" s="180"/>
      <c r="C87" s="168"/>
      <c r="D87" s="168"/>
      <c r="E87" s="26"/>
      <c r="G87" s="475" t="str">
        <f>CONCATENATE("",E1," Tot Exp/Non-Appr Must Be:")</f>
        <v>2023 Tot Exp/Non-Appr Must Be:</v>
      </c>
      <c r="H87" s="476"/>
      <c r="I87" s="477"/>
      <c r="J87" s="478">
        <f>IF(J85&gt;0,IF(E111&lt;E60,IF(J85=G98,E111,((J85-G98)*(1-D113))+E60),E111+(J85-G98)),0)</f>
        <v>0</v>
      </c>
    </row>
    <row r="88" spans="2:11" x14ac:dyDescent="0.2">
      <c r="B88" s="180"/>
      <c r="C88" s="168"/>
      <c r="D88" s="168"/>
      <c r="E88" s="26"/>
      <c r="G88" s="495" t="s">
        <v>670</v>
      </c>
      <c r="H88" s="474"/>
      <c r="I88" s="474"/>
      <c r="J88" s="574">
        <f>IF(J85&gt;0,J87-E111,0)</f>
        <v>0</v>
      </c>
    </row>
    <row r="89" spans="2:11" x14ac:dyDescent="0.2">
      <c r="B89" s="180"/>
      <c r="C89" s="168"/>
      <c r="D89" s="168"/>
      <c r="E89" s="26"/>
    </row>
    <row r="90" spans="2:11" x14ac:dyDescent="0.2">
      <c r="B90" s="180"/>
      <c r="C90" s="168"/>
      <c r="D90" s="168"/>
      <c r="E90" s="26"/>
      <c r="G90" s="878" t="str">
        <f>CONCATENATE("Projected Carryover Into ",E1+1,"")</f>
        <v>Projected Carryover Into 2024</v>
      </c>
      <c r="H90" s="886"/>
      <c r="I90" s="886"/>
      <c r="J90" s="887"/>
    </row>
    <row r="91" spans="2:11" x14ac:dyDescent="0.2">
      <c r="B91" s="180"/>
      <c r="C91" s="168"/>
      <c r="D91" s="168"/>
      <c r="E91" s="26"/>
      <c r="G91" s="397"/>
      <c r="H91" s="396"/>
      <c r="I91" s="396"/>
      <c r="J91" s="398"/>
    </row>
    <row r="92" spans="2:11" x14ac:dyDescent="0.2">
      <c r="B92" s="180"/>
      <c r="C92" s="168"/>
      <c r="D92" s="168"/>
      <c r="E92" s="26"/>
      <c r="G92" s="320">
        <f>D108</f>
        <v>21221</v>
      </c>
      <c r="H92" s="321" t="str">
        <f>CONCATENATE("",E1-1," Ending Cash Balance (est.)")</f>
        <v>2022 Ending Cash Balance (est.)</v>
      </c>
      <c r="I92" s="322"/>
      <c r="J92" s="398"/>
    </row>
    <row r="93" spans="2:11" x14ac:dyDescent="0.2">
      <c r="B93" s="180"/>
      <c r="C93" s="168"/>
      <c r="D93" s="168"/>
      <c r="E93" s="26"/>
      <c r="G93" s="320">
        <f>E59</f>
        <v>497694</v>
      </c>
      <c r="H93" s="323" t="str">
        <f>CONCATENATE("",E1," Non-AV Receipts (est.)")</f>
        <v>2023 Non-AV Receipts (est.)</v>
      </c>
      <c r="I93" s="322"/>
      <c r="J93" s="398"/>
    </row>
    <row r="94" spans="2:11" x14ac:dyDescent="0.2">
      <c r="B94" s="180"/>
      <c r="C94" s="168"/>
      <c r="D94" s="168"/>
      <c r="E94" s="26"/>
      <c r="G94" s="324">
        <f>IF(E113&gt;0,E112,E114)</f>
        <v>210786</v>
      </c>
      <c r="H94" s="323" t="str">
        <f>CONCATENATE("",E1," Ad Valorem Tax (est.)")</f>
        <v>2023 Ad Valorem Tax (est.)</v>
      </c>
      <c r="I94" s="322"/>
      <c r="J94" s="398"/>
      <c r="K94" s="579" t="str">
        <f>IF(G94=E114,"","Note: Does not include Delinquent Taxes")</f>
        <v>Note: Does not include Delinquent Taxes</v>
      </c>
    </row>
    <row r="95" spans="2:11" x14ac:dyDescent="0.2">
      <c r="B95" s="180"/>
      <c r="C95" s="168"/>
      <c r="D95" s="168"/>
      <c r="E95" s="26"/>
      <c r="G95" s="320">
        <f>SUM(G92:G94)</f>
        <v>729701</v>
      </c>
      <c r="H95" s="323" t="str">
        <f>CONCATENATE("Total ",E1," Resources Available")</f>
        <v>Total 2023 Resources Available</v>
      </c>
      <c r="I95" s="322"/>
      <c r="J95" s="398"/>
    </row>
    <row r="96" spans="2:11" x14ac:dyDescent="0.2">
      <c r="B96" s="180"/>
      <c r="C96" s="168"/>
      <c r="D96" s="168"/>
      <c r="E96" s="26"/>
      <c r="G96" s="325"/>
      <c r="H96" s="323"/>
      <c r="I96" s="323"/>
      <c r="J96" s="398"/>
    </row>
    <row r="97" spans="2:10" x14ac:dyDescent="0.2">
      <c r="B97" s="180"/>
      <c r="C97" s="168"/>
      <c r="D97" s="168"/>
      <c r="E97" s="26"/>
      <c r="G97" s="324">
        <f>ROUND(C107*0.05+C107,0)</f>
        <v>651481</v>
      </c>
      <c r="H97" s="323" t="str">
        <f>CONCATENATE("Less ",E1-2," Expenditures + 5%")</f>
        <v>Less 2021 Expenditures + 5%</v>
      </c>
      <c r="I97" s="322"/>
      <c r="J97" s="319"/>
    </row>
    <row r="98" spans="2:10" x14ac:dyDescent="0.2">
      <c r="B98" s="180"/>
      <c r="C98" s="168"/>
      <c r="D98" s="168"/>
      <c r="E98" s="26"/>
      <c r="G98" s="330">
        <f>G95-G97</f>
        <v>78220</v>
      </c>
      <c r="H98" s="326" t="str">
        <f>CONCATENATE("Projected ",E1+1," Carryover (est.)")</f>
        <v>Projected 2024 Carryover (est.)</v>
      </c>
      <c r="I98" s="327"/>
      <c r="J98" s="328"/>
    </row>
    <row r="99" spans="2:10" x14ac:dyDescent="0.2">
      <c r="B99" s="180"/>
      <c r="C99" s="168"/>
      <c r="D99" s="168"/>
      <c r="E99" s="26"/>
    </row>
    <row r="100" spans="2:10" ht="15.75" customHeight="1" x14ac:dyDescent="0.2">
      <c r="B100" s="180"/>
      <c r="C100" s="168"/>
      <c r="D100" s="168"/>
      <c r="E100" s="26"/>
      <c r="G100" s="888" t="s">
        <v>969</v>
      </c>
      <c r="H100" s="889"/>
      <c r="I100" s="889"/>
      <c r="J100" s="890"/>
    </row>
    <row r="101" spans="2:10" x14ac:dyDescent="0.2">
      <c r="B101" s="180"/>
      <c r="C101" s="168"/>
      <c r="D101" s="168"/>
      <c r="E101" s="26"/>
      <c r="G101" s="891"/>
      <c r="H101" s="892"/>
      <c r="I101" s="892"/>
      <c r="J101" s="893"/>
    </row>
    <row r="102" spans="2:10" x14ac:dyDescent="0.2">
      <c r="B102" s="180"/>
      <c r="C102" s="168"/>
      <c r="D102" s="168"/>
      <c r="E102" s="26"/>
      <c r="G102" s="757">
        <f>'Budget Hearing Notice'!H16</f>
        <v>29.513999999999999</v>
      </c>
      <c r="H102" s="758" t="str">
        <f>CONCATENATE("",E1," Estimated Fund Mill Rate")</f>
        <v>2023 Estimated Fund Mill Rate</v>
      </c>
      <c r="I102" s="759"/>
      <c r="J102" s="760"/>
    </row>
    <row r="103" spans="2:10" x14ac:dyDescent="0.2">
      <c r="B103" s="180"/>
      <c r="C103" s="168"/>
      <c r="D103" s="168"/>
      <c r="E103" s="26"/>
      <c r="G103" s="761">
        <f>'Budget Hearing Notice'!E16</f>
        <v>38.04</v>
      </c>
      <c r="H103" s="758" t="str">
        <f>CONCATENATE("",E1-1," Fund Mill Rate")</f>
        <v>2022 Fund Mill Rate</v>
      </c>
      <c r="I103" s="759"/>
      <c r="J103" s="760"/>
    </row>
    <row r="104" spans="2:10" ht="15.75" customHeight="1" x14ac:dyDescent="0.2">
      <c r="B104" s="650" t="str">
        <f>CONCATENATE("Cash Forward (",E1," column)")</f>
        <v>Cash Forward (2023 column)</v>
      </c>
      <c r="C104" s="168"/>
      <c r="D104" s="168"/>
      <c r="E104" s="26"/>
      <c r="G104" s="762">
        <f>inputOth!D20</f>
        <v>34.689</v>
      </c>
      <c r="H104" s="763" t="s">
        <v>970</v>
      </c>
      <c r="I104" s="759"/>
      <c r="J104" s="760"/>
    </row>
    <row r="105" spans="2:10" x14ac:dyDescent="0.2">
      <c r="B105" s="181" t="s">
        <v>192</v>
      </c>
      <c r="C105" s="168"/>
      <c r="D105" s="168"/>
      <c r="E105" s="26"/>
      <c r="G105" s="757">
        <f>'Budget Hearing Notice'!H43</f>
        <v>29.513999999999999</v>
      </c>
      <c r="H105" s="758" t="str">
        <f>CONCATENATE(E1," Estimated Total Mill Rate")</f>
        <v>2023 Estimated Total Mill Rate</v>
      </c>
      <c r="I105" s="759"/>
      <c r="J105" s="760"/>
    </row>
    <row r="106" spans="2:10" x14ac:dyDescent="0.2">
      <c r="B106" s="181" t="s">
        <v>655</v>
      </c>
      <c r="C106" s="280" t="str">
        <f>IF(C107*0.1&lt;C105,"Exceed 10% Rule","")</f>
        <v/>
      </c>
      <c r="D106" s="287" t="str">
        <f>IF(D107*0.1&lt;D105,"Exceed 10% Rule","")</f>
        <v/>
      </c>
      <c r="E106" s="194" t="str">
        <f>IF(E107*0.1&lt;E105,"Exceed 10% Rule","")</f>
        <v/>
      </c>
      <c r="G106" s="764">
        <f>'Budget Hearing Notice'!E43</f>
        <v>38.04</v>
      </c>
      <c r="H106" s="758" t="str">
        <f>CONCATENATE(E1-1," Total Mill Rate")</f>
        <v>2022 Total Mill Rate</v>
      </c>
      <c r="I106" s="759"/>
      <c r="J106" s="760"/>
    </row>
    <row r="107" spans="2:10" ht="15.75" customHeight="1" x14ac:dyDescent="0.2">
      <c r="B107" s="177" t="s">
        <v>34</v>
      </c>
      <c r="C107" s="198">
        <f>SUM(C79:C105)</f>
        <v>620458</v>
      </c>
      <c r="D107" s="198">
        <f>SUM(D79:D105)</f>
        <v>686131</v>
      </c>
      <c r="E107" s="198">
        <f>SUM(E79:E105)</f>
        <v>729701</v>
      </c>
      <c r="G107" s="765"/>
      <c r="H107" s="766"/>
      <c r="I107" s="766"/>
      <c r="J107" s="767"/>
    </row>
    <row r="108" spans="2:10" ht="15.75" customHeight="1" x14ac:dyDescent="0.2">
      <c r="B108" s="95" t="s">
        <v>100</v>
      </c>
      <c r="C108" s="139">
        <f>C60-C107</f>
        <v>17754</v>
      </c>
      <c r="D108" s="139">
        <f>D60-D107</f>
        <v>21221</v>
      </c>
      <c r="E108" s="193" t="s">
        <v>10</v>
      </c>
      <c r="G108" s="894" t="s">
        <v>971</v>
      </c>
      <c r="H108" s="895"/>
      <c r="I108" s="895"/>
      <c r="J108" s="898" t="str">
        <f>IF(G105&gt;G104, "Yes", "No")</f>
        <v>No</v>
      </c>
    </row>
    <row r="109" spans="2:10" ht="15.75" customHeight="1" x14ac:dyDescent="0.2">
      <c r="B109" s="110" t="str">
        <f>CONCATENATE("",E1-2,"/",E1-1,"/",E1," Budget Authority Amount:")</f>
        <v>2021/2022/2023 Budget Authority Amount:</v>
      </c>
      <c r="C109" s="428">
        <f>inputOth!B66</f>
        <v>652500</v>
      </c>
      <c r="D109" s="591">
        <f>inputPrYr!D19</f>
        <v>692265</v>
      </c>
      <c r="E109" s="139">
        <f>E107</f>
        <v>729701</v>
      </c>
      <c r="F109" s="183"/>
      <c r="G109" s="896"/>
      <c r="H109" s="897"/>
      <c r="I109" s="897"/>
      <c r="J109" s="899"/>
    </row>
    <row r="110" spans="2:10" x14ac:dyDescent="0.2">
      <c r="B110" s="83"/>
      <c r="C110" s="881" t="s">
        <v>514</v>
      </c>
      <c r="D110" s="882"/>
      <c r="E110" s="26"/>
      <c r="F110" s="314" t="str">
        <f>IF((E107/0.95)-E107&lt;E110,"Exceeds 5% ","")</f>
        <v/>
      </c>
      <c r="G110" s="900" t="str">
        <f>IF(J108="Yes", "Follow procedure prescribed by KSA 79-2988 to exceed the Revenue Neutral Rate.", " ")</f>
        <v xml:space="preserve"> </v>
      </c>
      <c r="H110" s="900"/>
      <c r="I110" s="900"/>
      <c r="J110" s="900"/>
    </row>
    <row r="111" spans="2:10" x14ac:dyDescent="0.2">
      <c r="B111" s="301" t="str">
        <f>CONCATENATE(C142,"     ",D142)</f>
        <v xml:space="preserve">     </v>
      </c>
      <c r="C111" s="883" t="s">
        <v>515</v>
      </c>
      <c r="D111" s="884"/>
      <c r="E111" s="139">
        <f>E107+E110</f>
        <v>729701</v>
      </c>
      <c r="G111" s="901"/>
      <c r="H111" s="901"/>
      <c r="I111" s="901"/>
      <c r="J111" s="901"/>
    </row>
    <row r="112" spans="2:10" x14ac:dyDescent="0.2">
      <c r="B112" s="301" t="str">
        <f>CONCATENATE(C143,"     ",D143)</f>
        <v xml:space="preserve">     </v>
      </c>
      <c r="C112" s="184"/>
      <c r="D112" s="108" t="s">
        <v>35</v>
      </c>
      <c r="E112" s="139">
        <f>IF(E111-E60&gt;0,E111-E60,0)</f>
        <v>210786</v>
      </c>
      <c r="G112" s="901"/>
      <c r="H112" s="901"/>
      <c r="I112" s="901"/>
      <c r="J112" s="901"/>
    </row>
    <row r="113" spans="2:11" x14ac:dyDescent="0.2">
      <c r="B113" s="83"/>
      <c r="C113" s="289" t="s">
        <v>516</v>
      </c>
      <c r="D113" s="497">
        <f>inputOth!E52</f>
        <v>0.03</v>
      </c>
      <c r="E113" s="139">
        <f>ROUND(IF(D113&gt;0,(E112*D113),0),0)</f>
        <v>6324</v>
      </c>
      <c r="K113" s="473"/>
    </row>
    <row r="114" spans="2:11" ht="16.5" thickBot="1" x14ac:dyDescent="0.25">
      <c r="B114" s="6"/>
      <c r="C114" s="874" t="str">
        <f>CONCATENATE("Amount of  ",$E$1-1," Ad Valorem Tax")</f>
        <v>Amount of  2022 Ad Valorem Tax</v>
      </c>
      <c r="D114" s="885"/>
      <c r="E114" s="286">
        <f>E112+E113</f>
        <v>217110</v>
      </c>
    </row>
    <row r="115" spans="2:11" ht="16.5" customHeight="1" thickTop="1" x14ac:dyDescent="0.2">
      <c r="B115" s="6"/>
      <c r="C115" s="874"/>
      <c r="D115" s="875"/>
      <c r="E115" s="541"/>
    </row>
    <row r="116" spans="2:11" ht="15.75" customHeight="1" x14ac:dyDescent="0.2">
      <c r="B116" s="727" t="s">
        <v>839</v>
      </c>
      <c r="C116" s="872"/>
      <c r="D116" s="873"/>
      <c r="E116" s="689"/>
    </row>
    <row r="117" spans="2:11" x14ac:dyDescent="0.2">
      <c r="B117" s="38"/>
      <c r="C117" s="874"/>
      <c r="D117" s="875"/>
      <c r="E117" s="690"/>
    </row>
    <row r="118" spans="2:11" x14ac:dyDescent="0.2">
      <c r="B118" s="462"/>
      <c r="C118" s="876"/>
      <c r="D118" s="877"/>
      <c r="E118" s="692"/>
    </row>
    <row r="119" spans="2:11" x14ac:dyDescent="0.2">
      <c r="B119" s="6"/>
      <c r="C119" s="6"/>
      <c r="D119" s="6"/>
      <c r="E119" s="6"/>
    </row>
    <row r="120" spans="2:11" x14ac:dyDescent="0.2">
      <c r="B120" s="111"/>
      <c r="C120" s="83" t="s">
        <v>37</v>
      </c>
      <c r="D120" s="110" t="str">
        <f>CONCATENATE("",D62,"a")</f>
        <v>6a</v>
      </c>
      <c r="E120" s="111"/>
    </row>
    <row r="122" spans="2:11" x14ac:dyDescent="0.2">
      <c r="B122" s="54"/>
    </row>
    <row r="125" spans="2:11" x14ac:dyDescent="0.2">
      <c r="B125" s="2"/>
      <c r="C125" s="2"/>
    </row>
    <row r="139" spans="3:4" hidden="1" x14ac:dyDescent="0.2"/>
    <row r="140" spans="3:4" hidden="1" x14ac:dyDescent="0.2"/>
    <row r="142" spans="3:4" x14ac:dyDescent="0.2">
      <c r="C142" s="7" t="str">
        <f>IF(C107&gt;C109,"See Tab A","")</f>
        <v/>
      </c>
      <c r="D142" s="7" t="str">
        <f>IF(D107&gt;D109,"See Tab C","")</f>
        <v/>
      </c>
    </row>
    <row r="143" spans="3:4" x14ac:dyDescent="0.2">
      <c r="C143" s="7" t="str">
        <f>IF(C108&lt;0,"See Tab B","")</f>
        <v/>
      </c>
      <c r="D143" s="7" t="str">
        <f>IF(D108&lt;0,"See Tab D","")</f>
        <v/>
      </c>
    </row>
  </sheetData>
  <sheetProtection sheet="1" objects="1" scenarios="1"/>
  <mergeCells count="13">
    <mergeCell ref="C116:D116"/>
    <mergeCell ref="C117:D117"/>
    <mergeCell ref="C118:D118"/>
    <mergeCell ref="G83:J83"/>
    <mergeCell ref="C110:D110"/>
    <mergeCell ref="C111:D111"/>
    <mergeCell ref="C114:D114"/>
    <mergeCell ref="C115:D115"/>
    <mergeCell ref="G90:J90"/>
    <mergeCell ref="G100:J101"/>
    <mergeCell ref="G108:I109"/>
    <mergeCell ref="J108:J109"/>
    <mergeCell ref="G110:J112"/>
  </mergeCells>
  <phoneticPr fontId="0" type="noConversion"/>
  <conditionalFormatting sqref="E110">
    <cfRule type="cellIs" dxfId="264" priority="3" stopIfTrue="1" operator="greaterThan">
      <formula>$E$107/0.95-$E$107</formula>
    </cfRule>
  </conditionalFormatting>
  <conditionalFormatting sqref="E105">
    <cfRule type="cellIs" dxfId="263" priority="4" stopIfTrue="1" operator="greaterThan">
      <formula>$E$107*0.1</formula>
    </cfRule>
  </conditionalFormatting>
  <conditionalFormatting sqref="C105">
    <cfRule type="cellIs" dxfId="262" priority="8" stopIfTrue="1" operator="greaterThan">
      <formula>$C$107*0.1</formula>
    </cfRule>
  </conditionalFormatting>
  <conditionalFormatting sqref="D105">
    <cfRule type="cellIs" dxfId="261" priority="9" stopIfTrue="1" operator="greaterThan">
      <formula>$D$107*0.1</formula>
    </cfRule>
  </conditionalFormatting>
  <conditionalFormatting sqref="D57">
    <cfRule type="cellIs" dxfId="260" priority="10" stopIfTrue="1" operator="greaterThan">
      <formula>$D$59*0.1</formula>
    </cfRule>
  </conditionalFormatting>
  <conditionalFormatting sqref="C57">
    <cfRule type="cellIs" dxfId="259" priority="11" stopIfTrue="1" operator="greaterThan">
      <formula>$C$59*0.1</formula>
    </cfRule>
  </conditionalFormatting>
  <conditionalFormatting sqref="E57">
    <cfRule type="cellIs" dxfId="258" priority="12" stopIfTrue="1" operator="greaterThan">
      <formula>$E$59*0.1+E114</formula>
    </cfRule>
  </conditionalFormatting>
  <conditionalFormatting sqref="J108">
    <cfRule type="containsText" dxfId="257" priority="1" operator="containsText" text="Yes">
      <formula>NOT(ISERROR(SEARCH("Yes",J108)))</formula>
    </cfRule>
  </conditionalFormatting>
  <pageMargins left="0.5" right="0.5" top="1" bottom="0.5" header="0.5" footer="0.25"/>
  <pageSetup scale="68" fitToHeight="2" orientation="portrait" blackAndWhite="1" horizontalDpi="120" verticalDpi="144" r:id="rId1"/>
  <headerFooter alignWithMargins="0">
    <oddHeader xml:space="preserve">&amp;RState of Kansas
City
</oddHeader>
  </headerFooter>
  <rowBreaks count="1" manualBreakCount="1">
    <brk id="6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00B0F0"/>
    <pageSetUpPr fitToPage="1"/>
  </sheetPr>
  <dimension ref="A1:D61"/>
  <sheetViews>
    <sheetView topLeftCell="A52" workbookViewId="0">
      <selection activeCell="B45" sqref="B45"/>
    </sheetView>
  </sheetViews>
  <sheetFormatPr defaultRowHeight="15.75" x14ac:dyDescent="0.2"/>
  <cols>
    <col min="1" max="1" width="28.33203125" style="2" customWidth="1"/>
    <col min="2" max="3" width="15.77734375" style="2" customWidth="1"/>
    <col min="4" max="4" width="16.109375" style="2" customWidth="1"/>
    <col min="5" max="16384" width="8.88671875" style="2"/>
  </cols>
  <sheetData>
    <row r="1" spans="1:4" x14ac:dyDescent="0.2">
      <c r="A1" s="112" t="str">
        <f>inputPrYr!D3</f>
        <v>Valley Falls</v>
      </c>
      <c r="B1" s="6"/>
      <c r="C1" s="110"/>
      <c r="D1" s="6">
        <f>inputPrYr!C6</f>
        <v>2023</v>
      </c>
    </row>
    <row r="2" spans="1:4" x14ac:dyDescent="0.2">
      <c r="A2" s="6"/>
      <c r="B2" s="6"/>
      <c r="C2" s="6"/>
      <c r="D2" s="110"/>
    </row>
    <row r="3" spans="1:4" x14ac:dyDescent="0.2">
      <c r="A3" s="17"/>
      <c r="B3" s="186"/>
      <c r="C3" s="186"/>
      <c r="D3" s="186"/>
    </row>
    <row r="4" spans="1:4" x14ac:dyDescent="0.2">
      <c r="A4" s="110" t="s">
        <v>20</v>
      </c>
      <c r="B4" s="187" t="s">
        <v>665</v>
      </c>
      <c r="C4" s="89" t="s">
        <v>668</v>
      </c>
      <c r="D4" s="89" t="s">
        <v>669</v>
      </c>
    </row>
    <row r="5" spans="1:4" x14ac:dyDescent="0.2">
      <c r="A5" s="432" t="s">
        <v>221</v>
      </c>
      <c r="B5" s="283" t="str">
        <f>CONCATENATE("Actual for ",D1-2,"")</f>
        <v>Actual for 2021</v>
      </c>
      <c r="C5" s="283" t="str">
        <f>CONCATENATE("Estimate for ",D1-1,"")</f>
        <v>Estimate for 2022</v>
      </c>
      <c r="D5" s="166" t="str">
        <f>CONCATENATE("Year for ",D1,"")</f>
        <v>Year for 2023</v>
      </c>
    </row>
    <row r="6" spans="1:4" x14ac:dyDescent="0.2">
      <c r="A6" s="137" t="s">
        <v>30</v>
      </c>
      <c r="B6" s="41"/>
      <c r="C6" s="41"/>
      <c r="D6" s="41"/>
    </row>
    <row r="7" spans="1:4" x14ac:dyDescent="0.2">
      <c r="A7" s="188" t="s">
        <v>1100</v>
      </c>
      <c r="B7" s="41"/>
      <c r="C7" s="41"/>
      <c r="D7" s="41"/>
    </row>
    <row r="8" spans="1:4" x14ac:dyDescent="0.2">
      <c r="A8" s="189" t="s">
        <v>38</v>
      </c>
      <c r="B8" s="174"/>
      <c r="C8" s="174">
        <v>65604</v>
      </c>
      <c r="D8" s="174">
        <v>85605</v>
      </c>
    </row>
    <row r="9" spans="1:4" x14ac:dyDescent="0.2">
      <c r="A9" s="189" t="s">
        <v>31</v>
      </c>
      <c r="B9" s="174"/>
      <c r="C9" s="174">
        <v>26125</v>
      </c>
      <c r="D9" s="174">
        <v>15713</v>
      </c>
    </row>
    <row r="10" spans="1:4" x14ac:dyDescent="0.2">
      <c r="A10" s="189" t="s">
        <v>32</v>
      </c>
      <c r="B10" s="174"/>
      <c r="C10" s="174">
        <v>5494</v>
      </c>
      <c r="D10" s="174">
        <v>9700</v>
      </c>
    </row>
    <row r="11" spans="1:4" x14ac:dyDescent="0.2">
      <c r="A11" s="189" t="s">
        <v>33</v>
      </c>
      <c r="B11" s="174"/>
      <c r="C11" s="174">
        <v>152200</v>
      </c>
      <c r="D11" s="174">
        <v>151047</v>
      </c>
    </row>
    <row r="12" spans="1:4" x14ac:dyDescent="0.2">
      <c r="A12" s="189" t="s">
        <v>1106</v>
      </c>
      <c r="B12" s="174"/>
      <c r="C12" s="174">
        <v>20000</v>
      </c>
      <c r="D12" s="174">
        <v>10000</v>
      </c>
    </row>
    <row r="13" spans="1:4" x14ac:dyDescent="0.2">
      <c r="A13" s="29" t="s">
        <v>1107</v>
      </c>
      <c r="B13" s="174"/>
      <c r="C13" s="174">
        <v>0</v>
      </c>
      <c r="D13" s="174">
        <v>25000</v>
      </c>
    </row>
    <row r="14" spans="1:4" x14ac:dyDescent="0.2">
      <c r="A14" s="29"/>
      <c r="B14" s="174">
        <v>202037</v>
      </c>
      <c r="C14" s="174"/>
      <c r="D14" s="174"/>
    </row>
    <row r="15" spans="1:4" x14ac:dyDescent="0.2">
      <c r="A15" s="137" t="s">
        <v>247</v>
      </c>
      <c r="B15" s="182">
        <f>SUM(B8:B14)</f>
        <v>202037</v>
      </c>
      <c r="C15" s="182">
        <f>SUM(C8:C14)</f>
        <v>269423</v>
      </c>
      <c r="D15" s="182">
        <f>SUM(D8:D14)</f>
        <v>297065</v>
      </c>
    </row>
    <row r="16" spans="1:4" x14ac:dyDescent="0.2">
      <c r="A16" s="190" t="s">
        <v>1101</v>
      </c>
      <c r="B16" s="112"/>
      <c r="C16" s="112"/>
      <c r="D16" s="112"/>
    </row>
    <row r="17" spans="1:4" x14ac:dyDescent="0.2">
      <c r="A17" s="189" t="s">
        <v>38</v>
      </c>
      <c r="B17" s="174"/>
      <c r="C17" s="174">
        <v>189575</v>
      </c>
      <c r="D17" s="174">
        <v>194474</v>
      </c>
    </row>
    <row r="18" spans="1:4" x14ac:dyDescent="0.2">
      <c r="A18" s="189" t="s">
        <v>31</v>
      </c>
      <c r="B18" s="174"/>
      <c r="C18" s="174">
        <v>13400</v>
      </c>
      <c r="D18" s="174">
        <v>20000</v>
      </c>
    </row>
    <row r="19" spans="1:4" x14ac:dyDescent="0.2">
      <c r="A19" s="189" t="s">
        <v>32</v>
      </c>
      <c r="B19" s="174"/>
      <c r="C19" s="174">
        <v>30524</v>
      </c>
      <c r="D19" s="174">
        <v>32500</v>
      </c>
    </row>
    <row r="20" spans="1:4" x14ac:dyDescent="0.2">
      <c r="A20" s="189" t="s">
        <v>33</v>
      </c>
      <c r="B20" s="174">
        <v>200000</v>
      </c>
      <c r="C20" s="174">
        <v>0</v>
      </c>
      <c r="D20" s="174">
        <v>4500</v>
      </c>
    </row>
    <row r="21" spans="1:4" x14ac:dyDescent="0.2">
      <c r="A21" s="137" t="s">
        <v>247</v>
      </c>
      <c r="B21" s="182">
        <f>SUM(B17:B20)</f>
        <v>200000</v>
      </c>
      <c r="C21" s="182">
        <f>SUM(C17:C20)</f>
        <v>233499</v>
      </c>
      <c r="D21" s="182">
        <f>SUM(D17:D20)</f>
        <v>251474</v>
      </c>
    </row>
    <row r="22" spans="1:4" x14ac:dyDescent="0.2">
      <c r="A22" s="190" t="s">
        <v>1102</v>
      </c>
      <c r="B22" s="112"/>
      <c r="C22" s="112"/>
      <c r="D22" s="112"/>
    </row>
    <row r="23" spans="1:4" x14ac:dyDescent="0.2">
      <c r="A23" s="189" t="s">
        <v>38</v>
      </c>
      <c r="B23" s="174"/>
      <c r="C23" s="174">
        <v>10320</v>
      </c>
      <c r="D23" s="174">
        <v>11320</v>
      </c>
    </row>
    <row r="24" spans="1:4" x14ac:dyDescent="0.2">
      <c r="A24" s="189" t="s">
        <v>31</v>
      </c>
      <c r="B24" s="174"/>
      <c r="C24" s="174">
        <v>2300</v>
      </c>
      <c r="D24" s="174">
        <v>2300</v>
      </c>
    </row>
    <row r="25" spans="1:4" x14ac:dyDescent="0.2">
      <c r="A25" s="189" t="s">
        <v>32</v>
      </c>
      <c r="B25" s="174"/>
      <c r="C25" s="174">
        <v>400</v>
      </c>
      <c r="D25" s="174">
        <v>200</v>
      </c>
    </row>
    <row r="26" spans="1:4" x14ac:dyDescent="0.2">
      <c r="A26" s="189" t="s">
        <v>33</v>
      </c>
      <c r="B26" s="174">
        <v>5616</v>
      </c>
      <c r="C26" s="174">
        <v>0</v>
      </c>
      <c r="D26" s="174">
        <v>0</v>
      </c>
    </row>
    <row r="27" spans="1:4" x14ac:dyDescent="0.2">
      <c r="A27" s="137" t="s">
        <v>247</v>
      </c>
      <c r="B27" s="182">
        <f>SUM(B23:B26)</f>
        <v>5616</v>
      </c>
      <c r="C27" s="182">
        <f>SUM(C23:C26)</f>
        <v>13020</v>
      </c>
      <c r="D27" s="182">
        <f>SUM(D23:D26)</f>
        <v>13820</v>
      </c>
    </row>
    <row r="28" spans="1:4" x14ac:dyDescent="0.2">
      <c r="A28" s="190" t="s">
        <v>1103</v>
      </c>
      <c r="B28" s="112"/>
      <c r="C28" s="112"/>
      <c r="D28" s="112"/>
    </row>
    <row r="29" spans="1:4" x14ac:dyDescent="0.2">
      <c r="A29" s="189" t="s">
        <v>38</v>
      </c>
      <c r="B29" s="174"/>
      <c r="C29" s="174">
        <v>37324</v>
      </c>
      <c r="D29" s="174">
        <v>42892</v>
      </c>
    </row>
    <row r="30" spans="1:4" x14ac:dyDescent="0.2">
      <c r="A30" s="189" t="s">
        <v>31</v>
      </c>
      <c r="B30" s="174"/>
      <c r="C30" s="174">
        <v>3000</v>
      </c>
      <c r="D30" s="174">
        <v>8250</v>
      </c>
    </row>
    <row r="31" spans="1:4" x14ac:dyDescent="0.2">
      <c r="A31" s="189" t="s">
        <v>32</v>
      </c>
      <c r="B31" s="174"/>
      <c r="C31" s="174">
        <v>47600</v>
      </c>
      <c r="D31" s="174">
        <v>36700</v>
      </c>
    </row>
    <row r="32" spans="1:4" x14ac:dyDescent="0.2">
      <c r="A32" s="189" t="s">
        <v>33</v>
      </c>
      <c r="B32" s="174">
        <v>133013</v>
      </c>
      <c r="C32" s="174">
        <v>0</v>
      </c>
      <c r="D32" s="174">
        <v>700</v>
      </c>
    </row>
    <row r="33" spans="1:4" x14ac:dyDescent="0.2">
      <c r="A33" s="137" t="s">
        <v>247</v>
      </c>
      <c r="B33" s="182">
        <f>SUM(B29:B32)</f>
        <v>133013</v>
      </c>
      <c r="C33" s="182">
        <f>SUM(C29:C32)</f>
        <v>87924</v>
      </c>
      <c r="D33" s="182">
        <f>SUM(D29:D32)</f>
        <v>88542</v>
      </c>
    </row>
    <row r="34" spans="1:4" x14ac:dyDescent="0.2">
      <c r="A34" s="190" t="s">
        <v>1104</v>
      </c>
      <c r="B34" s="112"/>
      <c r="C34" s="112"/>
      <c r="D34" s="112"/>
    </row>
    <row r="35" spans="1:4" x14ac:dyDescent="0.2">
      <c r="A35" s="189" t="s">
        <v>38</v>
      </c>
      <c r="B35" s="174"/>
      <c r="C35" s="174">
        <v>0</v>
      </c>
      <c r="D35" s="174">
        <v>0</v>
      </c>
    </row>
    <row r="36" spans="1:4" x14ac:dyDescent="0.2">
      <c r="A36" s="189" t="s">
        <v>31</v>
      </c>
      <c r="B36" s="174"/>
      <c r="C36" s="174">
        <v>1100</v>
      </c>
      <c r="D36" s="174">
        <v>300</v>
      </c>
    </row>
    <row r="37" spans="1:4" x14ac:dyDescent="0.2">
      <c r="A37" s="189" t="s">
        <v>32</v>
      </c>
      <c r="B37" s="174"/>
      <c r="C37" s="174">
        <v>500</v>
      </c>
      <c r="D37" s="174">
        <v>7800</v>
      </c>
    </row>
    <row r="38" spans="1:4" x14ac:dyDescent="0.2">
      <c r="A38" s="189" t="s">
        <v>33</v>
      </c>
      <c r="B38" s="174">
        <v>9792</v>
      </c>
      <c r="C38" s="174">
        <v>4000</v>
      </c>
      <c r="D38" s="174">
        <v>0</v>
      </c>
    </row>
    <row r="39" spans="1:4" x14ac:dyDescent="0.2">
      <c r="A39" s="137" t="s">
        <v>247</v>
      </c>
      <c r="B39" s="182">
        <f>SUM(B35:B38)</f>
        <v>9792</v>
      </c>
      <c r="C39" s="182">
        <f>SUM(C35:C38)</f>
        <v>5600</v>
      </c>
      <c r="D39" s="182">
        <f>SUM(D35:D38)</f>
        <v>8100</v>
      </c>
    </row>
    <row r="40" spans="1:4" x14ac:dyDescent="0.2">
      <c r="A40" s="190" t="s">
        <v>1105</v>
      </c>
      <c r="B40" s="112"/>
      <c r="C40" s="112"/>
      <c r="D40" s="112"/>
    </row>
    <row r="41" spans="1:4" x14ac:dyDescent="0.2">
      <c r="A41" s="189" t="s">
        <v>38</v>
      </c>
      <c r="B41" s="174"/>
      <c r="C41" s="174">
        <v>54000</v>
      </c>
      <c r="D41" s="174">
        <v>58000</v>
      </c>
    </row>
    <row r="42" spans="1:4" x14ac:dyDescent="0.2">
      <c r="A42" s="189" t="s">
        <v>31</v>
      </c>
      <c r="B42" s="174"/>
      <c r="C42" s="174">
        <v>2000</v>
      </c>
      <c r="D42" s="174">
        <v>1700</v>
      </c>
    </row>
    <row r="43" spans="1:4" x14ac:dyDescent="0.2">
      <c r="A43" s="189" t="s">
        <v>32</v>
      </c>
      <c r="B43" s="174"/>
      <c r="C43" s="174">
        <v>20665</v>
      </c>
      <c r="D43" s="174">
        <v>11000</v>
      </c>
    </row>
    <row r="44" spans="1:4" x14ac:dyDescent="0.2">
      <c r="A44" s="189" t="s">
        <v>33</v>
      </c>
      <c r="B44" s="174">
        <v>70000</v>
      </c>
      <c r="C44" s="174">
        <v>0</v>
      </c>
      <c r="D44" s="174"/>
    </row>
    <row r="45" spans="1:4" x14ac:dyDescent="0.2">
      <c r="A45" s="137" t="s">
        <v>247</v>
      </c>
      <c r="B45" s="182">
        <f>SUM(B41:B44)</f>
        <v>70000</v>
      </c>
      <c r="C45" s="182">
        <f>SUM(C41:C44)</f>
        <v>76665</v>
      </c>
      <c r="D45" s="182">
        <f>SUM(D41:D44)</f>
        <v>70700</v>
      </c>
    </row>
    <row r="46" spans="1:4" x14ac:dyDescent="0.2">
      <c r="A46" s="190"/>
      <c r="B46" s="112"/>
      <c r="C46" s="112"/>
      <c r="D46" s="112"/>
    </row>
    <row r="47" spans="1:4" x14ac:dyDescent="0.2">
      <c r="A47" s="189" t="s">
        <v>38</v>
      </c>
      <c r="B47" s="174"/>
      <c r="C47" s="174"/>
      <c r="D47" s="174"/>
    </row>
    <row r="48" spans="1:4" x14ac:dyDescent="0.2">
      <c r="A48" s="189" t="s">
        <v>31</v>
      </c>
      <c r="B48" s="174"/>
      <c r="C48" s="174"/>
      <c r="D48" s="174"/>
    </row>
    <row r="49" spans="1:4" x14ac:dyDescent="0.2">
      <c r="A49" s="189" t="s">
        <v>32</v>
      </c>
      <c r="B49" s="174"/>
      <c r="C49" s="174"/>
      <c r="D49" s="174"/>
    </row>
    <row r="50" spans="1:4" x14ac:dyDescent="0.2">
      <c r="A50" s="189" t="s">
        <v>33</v>
      </c>
      <c r="B50" s="174"/>
      <c r="C50" s="174"/>
      <c r="D50" s="174"/>
    </row>
    <row r="51" spans="1:4" x14ac:dyDescent="0.2">
      <c r="A51" s="137" t="s">
        <v>247</v>
      </c>
      <c r="B51" s="182">
        <f>SUM(B47:B50)</f>
        <v>0</v>
      </c>
      <c r="C51" s="182">
        <f>SUM(C47:C50)</f>
        <v>0</v>
      </c>
      <c r="D51" s="182">
        <f>SUM(D47:D50)</f>
        <v>0</v>
      </c>
    </row>
    <row r="52" spans="1:4" x14ac:dyDescent="0.2">
      <c r="A52" s="190"/>
      <c r="B52" s="112"/>
      <c r="C52" s="112"/>
      <c r="D52" s="112"/>
    </row>
    <row r="53" spans="1:4" x14ac:dyDescent="0.2">
      <c r="A53" s="189" t="s">
        <v>38</v>
      </c>
      <c r="B53" s="174"/>
      <c r="C53" s="174"/>
      <c r="D53" s="174"/>
    </row>
    <row r="54" spans="1:4" x14ac:dyDescent="0.2">
      <c r="A54" s="189" t="s">
        <v>31</v>
      </c>
      <c r="B54" s="174"/>
      <c r="C54" s="174"/>
      <c r="D54" s="174"/>
    </row>
    <row r="55" spans="1:4" x14ac:dyDescent="0.2">
      <c r="A55" s="189" t="s">
        <v>32</v>
      </c>
      <c r="B55" s="174"/>
      <c r="C55" s="174"/>
      <c r="D55" s="174"/>
    </row>
    <row r="56" spans="1:4" x14ac:dyDescent="0.2">
      <c r="A56" s="189" t="s">
        <v>33</v>
      </c>
      <c r="B56" s="174"/>
      <c r="C56" s="174"/>
      <c r="D56" s="174"/>
    </row>
    <row r="57" spans="1:4" x14ac:dyDescent="0.2">
      <c r="A57" s="137" t="s">
        <v>247</v>
      </c>
      <c r="B57" s="182">
        <f>SUM(B53:B56)</f>
        <v>0</v>
      </c>
      <c r="C57" s="182">
        <f>SUM(C53:C56)</f>
        <v>0</v>
      </c>
      <c r="D57" s="182">
        <f>SUM(D53:D56)</f>
        <v>0</v>
      </c>
    </row>
    <row r="58" spans="1:4" x14ac:dyDescent="0.2">
      <c r="A58" s="6"/>
      <c r="B58" s="112"/>
      <c r="C58" s="112"/>
      <c r="D58" s="112"/>
    </row>
    <row r="59" spans="1:4" ht="16.5" thickBot="1" x14ac:dyDescent="0.25">
      <c r="A59" s="137" t="s">
        <v>39</v>
      </c>
      <c r="B59" s="191">
        <f>B15+B21+B27+B33+B39+B45+B51+B57</f>
        <v>620458</v>
      </c>
      <c r="C59" s="191">
        <f>C15+C21+C27+C33+C39+C45+C51+C57</f>
        <v>686131</v>
      </c>
      <c r="D59" s="191">
        <f>D15+D21+D27+D33+D39+D45+D51+D57</f>
        <v>729701</v>
      </c>
    </row>
    <row r="60" spans="1:4" ht="16.5" thickTop="1" x14ac:dyDescent="0.2">
      <c r="A60" s="192" t="s">
        <v>220</v>
      </c>
      <c r="B60" s="112"/>
      <c r="C60" s="112"/>
      <c r="D60" s="112"/>
    </row>
    <row r="61" spans="1:4" x14ac:dyDescent="0.2">
      <c r="A61" s="83" t="s">
        <v>37</v>
      </c>
      <c r="B61" s="480" t="str">
        <f>CONCATENATE("",General!D62,"c")</f>
        <v>6c</v>
      </c>
      <c r="C61" s="112"/>
      <c r="D61" s="112"/>
    </row>
  </sheetData>
  <sheetProtection sheet="1"/>
  <phoneticPr fontId="0" type="noConversion"/>
  <pageMargins left="0.5" right="0.5" top="1" bottom="0.5" header="0.5" footer="0.5"/>
  <pageSetup scale="68" orientation="portrait" blackAndWhite="1" horizontalDpi="300" verticalDpi="300" r:id="rId1"/>
  <headerFooter alignWithMargins="0">
    <oddHeader xml:space="preserve">&amp;RState of Kansas
City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00B0F0"/>
  </sheetPr>
  <dimension ref="B1:K98"/>
  <sheetViews>
    <sheetView topLeftCell="A61" zoomScaleNormal="100" workbookViewId="0">
      <selection activeCell="C87" sqref="C87"/>
    </sheetView>
  </sheetViews>
  <sheetFormatPr defaultRowHeight="15.75" x14ac:dyDescent="0.2"/>
  <cols>
    <col min="1" max="1" width="2.44140625" style="7" customWidth="1"/>
    <col min="2" max="2" width="31.109375" style="7" customWidth="1"/>
    <col min="3" max="4" width="15.77734375" style="7" customWidth="1"/>
    <col min="5" max="5" width="16.21875" style="7" customWidth="1"/>
    <col min="6" max="6" width="8.109375" style="7" customWidth="1"/>
    <col min="7" max="7" width="10.21875" style="7" customWidth="1"/>
    <col min="8" max="8" width="8.88671875" style="7"/>
    <col min="9" max="9" width="5" style="7" customWidth="1"/>
    <col min="10" max="10" width="10" style="7" customWidth="1"/>
    <col min="11" max="16384" width="8.88671875" style="7"/>
  </cols>
  <sheetData>
    <row r="1" spans="2:10" x14ac:dyDescent="0.2">
      <c r="B1" s="112" t="str">
        <f>(inputPrYr!D3)</f>
        <v>Valley Falls</v>
      </c>
      <c r="C1" s="112"/>
      <c r="D1" s="6"/>
      <c r="E1" s="131">
        <f>inputPrYr!$C$6</f>
        <v>2023</v>
      </c>
    </row>
    <row r="2" spans="2:10" x14ac:dyDescent="0.2">
      <c r="B2" s="6"/>
      <c r="C2" s="6"/>
      <c r="D2" s="6"/>
      <c r="E2" s="108"/>
    </row>
    <row r="3" spans="2:10" x14ac:dyDescent="0.2">
      <c r="B3" s="17" t="s">
        <v>84</v>
      </c>
      <c r="C3" s="17"/>
      <c r="D3" s="292"/>
      <c r="E3" s="291"/>
    </row>
    <row r="4" spans="2:10" x14ac:dyDescent="0.2">
      <c r="B4" s="9" t="s">
        <v>20</v>
      </c>
      <c r="C4" s="539" t="s">
        <v>665</v>
      </c>
      <c r="D4" s="540" t="s">
        <v>668</v>
      </c>
      <c r="E4" s="89" t="s">
        <v>669</v>
      </c>
    </row>
    <row r="5" spans="2:10" x14ac:dyDescent="0.2">
      <c r="B5" s="297" t="str">
        <f>inputPrYr!B20</f>
        <v>Debt Service</v>
      </c>
      <c r="C5" s="283" t="str">
        <f>CONCATENATE("Actual for ",E1-2,"")</f>
        <v>Actual for 2021</v>
      </c>
      <c r="D5" s="283" t="str">
        <f>CONCATENATE("Estimate for ",E1-1,"")</f>
        <v>Estimate for 2022</v>
      </c>
      <c r="E5" s="166" t="str">
        <f>CONCATENATE("Year for ",E1,"")</f>
        <v>Year for 2023</v>
      </c>
    </row>
    <row r="6" spans="2:10" x14ac:dyDescent="0.2">
      <c r="B6" s="95" t="s">
        <v>99</v>
      </c>
      <c r="C6" s="499"/>
      <c r="D6" s="282">
        <f>C36</f>
        <v>0</v>
      </c>
      <c r="E6" s="139">
        <f>D36</f>
        <v>0</v>
      </c>
    </row>
    <row r="7" spans="2:10" x14ac:dyDescent="0.2">
      <c r="B7" s="95" t="s">
        <v>101</v>
      </c>
      <c r="C7" s="282"/>
      <c r="D7" s="282"/>
      <c r="E7" s="139"/>
    </row>
    <row r="8" spans="2:10" x14ac:dyDescent="0.2">
      <c r="B8" s="95" t="s">
        <v>21</v>
      </c>
      <c r="C8" s="486"/>
      <c r="D8" s="282">
        <f>IF(inputPrYr!H21&gt;0,inputPrYr!G23,inputPrYr!E20)</f>
        <v>0</v>
      </c>
      <c r="E8" s="193" t="s">
        <v>10</v>
      </c>
    </row>
    <row r="9" spans="2:10" x14ac:dyDescent="0.2">
      <c r="B9" s="95" t="s">
        <v>22</v>
      </c>
      <c r="C9" s="486"/>
      <c r="D9" s="168"/>
      <c r="E9" s="26"/>
    </row>
    <row r="10" spans="2:10" x14ac:dyDescent="0.2">
      <c r="B10" s="95" t="s">
        <v>23</v>
      </c>
      <c r="C10" s="486"/>
      <c r="D10" s="168"/>
      <c r="E10" s="139" t="str">
        <f>Mvalloc!D8</f>
        <v xml:space="preserve">  </v>
      </c>
      <c r="G10" s="902" t="str">
        <f>CONCATENATE("Desired Carryover Into ",E1+1,"")</f>
        <v>Desired Carryover Into 2024</v>
      </c>
      <c r="H10" s="886"/>
      <c r="I10" s="886"/>
      <c r="J10" s="887"/>
    </row>
    <row r="11" spans="2:10" x14ac:dyDescent="0.2">
      <c r="B11" s="95" t="s">
        <v>24</v>
      </c>
      <c r="C11" s="486"/>
      <c r="D11" s="168"/>
      <c r="E11" s="139" t="str">
        <f>Mvalloc!E8</f>
        <v xml:space="preserve"> </v>
      </c>
      <c r="G11" s="487"/>
      <c r="H11" s="482"/>
      <c r="I11" s="484"/>
      <c r="J11" s="488"/>
    </row>
    <row r="12" spans="2:10" x14ac:dyDescent="0.2">
      <c r="B12" s="181" t="s">
        <v>91</v>
      </c>
      <c r="C12" s="486"/>
      <c r="D12" s="168"/>
      <c r="E12" s="139" t="str">
        <f>Mvalloc!F8</f>
        <v xml:space="preserve"> </v>
      </c>
      <c r="G12" s="485" t="s">
        <v>522</v>
      </c>
      <c r="H12" s="484"/>
      <c r="I12" s="484"/>
      <c r="J12" s="483">
        <v>0</v>
      </c>
    </row>
    <row r="13" spans="2:10" x14ac:dyDescent="0.2">
      <c r="B13" s="646" t="s">
        <v>819</v>
      </c>
      <c r="C13" s="486"/>
      <c r="D13" s="168"/>
      <c r="E13" s="139" t="str">
        <f>Mvalloc!G8</f>
        <v xml:space="preserve"> </v>
      </c>
      <c r="G13" s="487" t="s">
        <v>523</v>
      </c>
      <c r="H13" s="482"/>
      <c r="I13" s="482"/>
      <c r="J13" s="500" t="str">
        <f>IF(J12=0,"",ROUND((J12+E42-G25)/inputOth!E7*1000,3)-G30)</f>
        <v/>
      </c>
    </row>
    <row r="14" spans="2:10" x14ac:dyDescent="0.2">
      <c r="B14" s="646" t="s">
        <v>820</v>
      </c>
      <c r="C14" s="486"/>
      <c r="D14" s="168"/>
      <c r="E14" s="139" t="str">
        <f>Mvalloc!H8</f>
        <v xml:space="preserve"> </v>
      </c>
      <c r="G14" s="492" t="str">
        <f>CONCATENATE("",E1," Tot Exp/Non-Appr Must Be:")</f>
        <v>2023 Tot Exp/Non-Appr Must Be:</v>
      </c>
      <c r="H14" s="490"/>
      <c r="I14" s="491"/>
      <c r="J14" s="489">
        <f>IF(J12&gt;0,IF(E39&lt;E24,IF(J12=G25,E39,((J12-G25)*(1-D41))+E24),E39+(J12-G25)),0)</f>
        <v>0</v>
      </c>
    </row>
    <row r="15" spans="2:10" x14ac:dyDescent="0.2">
      <c r="B15" s="26"/>
      <c r="C15" s="486"/>
      <c r="D15" s="168"/>
      <c r="E15" s="26"/>
      <c r="G15" s="495" t="s">
        <v>670</v>
      </c>
      <c r="H15" s="496"/>
      <c r="I15" s="496"/>
      <c r="J15" s="493">
        <f>IF(J12&gt;0,J14-E39,0)</f>
        <v>0</v>
      </c>
    </row>
    <row r="16" spans="2:10" x14ac:dyDescent="0.2">
      <c r="B16" s="168"/>
      <c r="C16" s="486"/>
      <c r="D16" s="168"/>
      <c r="E16" s="26"/>
    </row>
    <row r="17" spans="2:11" x14ac:dyDescent="0.2">
      <c r="B17" s="175"/>
      <c r="C17" s="486"/>
      <c r="D17" s="168"/>
      <c r="E17" s="26"/>
      <c r="G17" s="908" t="str">
        <f>CONCATENATE("Projected Carryover Into ",E1+1,"")</f>
        <v>Projected Carryover Into 2024</v>
      </c>
      <c r="H17" s="909"/>
      <c r="I17" s="909"/>
      <c r="J17" s="887"/>
    </row>
    <row r="18" spans="2:11" x14ac:dyDescent="0.2">
      <c r="B18" s="175"/>
      <c r="C18" s="486"/>
      <c r="D18" s="168"/>
      <c r="E18" s="26"/>
      <c r="G18" s="397"/>
      <c r="H18" s="396"/>
      <c r="I18" s="396"/>
      <c r="J18" s="481"/>
    </row>
    <row r="19" spans="2:11" x14ac:dyDescent="0.2">
      <c r="B19" s="206" t="s">
        <v>26</v>
      </c>
      <c r="C19" s="486"/>
      <c r="D19" s="168"/>
      <c r="E19" s="26"/>
      <c r="G19" s="401">
        <f>D36</f>
        <v>0</v>
      </c>
      <c r="H19" s="402" t="str">
        <f>CONCATENATE("",E1-1," Ending Cash Balance (est.)")</f>
        <v>2022 Ending Cash Balance (est.)</v>
      </c>
      <c r="I19" s="398"/>
      <c r="J19" s="481"/>
    </row>
    <row r="20" spans="2:11" x14ac:dyDescent="0.2">
      <c r="B20" s="294" t="s">
        <v>193</v>
      </c>
      <c r="C20" s="486"/>
      <c r="D20" s="168"/>
      <c r="E20" s="428">
        <f>'NR Rebate'!E7*-1</f>
        <v>0</v>
      </c>
      <c r="G20" s="401">
        <f>E23</f>
        <v>0</v>
      </c>
      <c r="H20" s="403" t="str">
        <f>CONCATENATE("",E1," Non-AV Receipts (est.)")</f>
        <v>2023 Non-AV Receipts (est.)</v>
      </c>
      <c r="I20" s="396"/>
      <c r="J20" s="481"/>
    </row>
    <row r="21" spans="2:11" x14ac:dyDescent="0.2">
      <c r="B21" s="95" t="s">
        <v>192</v>
      </c>
      <c r="C21" s="486"/>
      <c r="D21" s="168"/>
      <c r="E21" s="26"/>
      <c r="G21" s="404">
        <f>IF(E41&gt;0,E40,E42)</f>
        <v>0</v>
      </c>
      <c r="H21" s="403" t="str">
        <f>CONCATENATE("",E1," Ad Valorem Tax (est.)")</f>
        <v>2023 Ad Valorem Tax (est.)</v>
      </c>
      <c r="I21" s="396"/>
      <c r="J21" s="481"/>
      <c r="K21" s="498" t="str">
        <f>IF(G21=E42,"","Note: Does not include Delinquent Taxes")</f>
        <v/>
      </c>
    </row>
    <row r="22" spans="2:11" x14ac:dyDescent="0.2">
      <c r="B22" s="95" t="s">
        <v>654</v>
      </c>
      <c r="C22" s="284" t="str">
        <f>IF(C23*0.1&lt;C21,"Exceed 10% Rule","")</f>
        <v/>
      </c>
      <c r="D22" s="299" t="str">
        <f>IF(D23*0.1&lt;D21,"Exceed 10% Rule","")</f>
        <v/>
      </c>
      <c r="E22" s="194" t="str">
        <f>IF(E24*0.01+E42&lt;E21,"Exceed 10% Rule","")</f>
        <v/>
      </c>
      <c r="G22" s="401">
        <f>SUM(G19:G21)</f>
        <v>0</v>
      </c>
      <c r="H22" s="403" t="str">
        <f>CONCATENATE("Total ",E1," Resources Available")</f>
        <v>Total 2023 Resources Available</v>
      </c>
      <c r="I22" s="398"/>
      <c r="J22" s="481"/>
    </row>
    <row r="23" spans="2:11" x14ac:dyDescent="0.2">
      <c r="B23" s="177" t="s">
        <v>27</v>
      </c>
      <c r="C23" s="285">
        <f>SUM(C8:C21)</f>
        <v>0</v>
      </c>
      <c r="D23" s="285">
        <f>SUM(D8:D21)</f>
        <v>0</v>
      </c>
      <c r="E23" s="198">
        <f>SUM(E8:E21)</f>
        <v>0</v>
      </c>
      <c r="G23" s="405"/>
      <c r="H23" s="403"/>
      <c r="I23" s="396"/>
      <c r="J23" s="481"/>
    </row>
    <row r="24" spans="2:11" x14ac:dyDescent="0.2">
      <c r="B24" s="177" t="s">
        <v>28</v>
      </c>
      <c r="C24" s="285">
        <f>C6+C23</f>
        <v>0</v>
      </c>
      <c r="D24" s="285">
        <f>D6+D23</f>
        <v>0</v>
      </c>
      <c r="E24" s="198">
        <f>E6+E23</f>
        <v>0</v>
      </c>
      <c r="G24" s="404">
        <f>C35</f>
        <v>0</v>
      </c>
      <c r="H24" s="403" t="str">
        <f>CONCATENATE("Less ",E1-2," Expenditures")</f>
        <v>Less 2021 Expenditures</v>
      </c>
      <c r="I24" s="396"/>
      <c r="J24" s="481"/>
    </row>
    <row r="25" spans="2:11" x14ac:dyDescent="0.2">
      <c r="B25" s="95" t="s">
        <v>30</v>
      </c>
      <c r="C25" s="95"/>
      <c r="D25" s="282"/>
      <c r="E25" s="139"/>
      <c r="G25" s="337">
        <f>SUM(G22-G24)</f>
        <v>0</v>
      </c>
      <c r="H25" s="338" t="str">
        <f>CONCATENATE("Projected ",E1+1," carryover (est.)")</f>
        <v>Projected 2024 carryover (est.)</v>
      </c>
      <c r="I25" s="399"/>
      <c r="J25" s="479"/>
    </row>
    <row r="26" spans="2:11" x14ac:dyDescent="0.2">
      <c r="B26" s="175"/>
      <c r="C26" s="296"/>
      <c r="D26" s="168"/>
      <c r="E26" s="26"/>
    </row>
    <row r="27" spans="2:11" x14ac:dyDescent="0.2">
      <c r="B27" s="175"/>
      <c r="C27" s="296"/>
      <c r="D27" s="168"/>
      <c r="E27" s="26"/>
      <c r="G27" s="888" t="s">
        <v>969</v>
      </c>
      <c r="H27" s="889"/>
      <c r="I27" s="889"/>
      <c r="J27" s="890"/>
    </row>
    <row r="28" spans="2:11" x14ac:dyDescent="0.2">
      <c r="B28" s="175"/>
      <c r="C28" s="296"/>
      <c r="D28" s="168"/>
      <c r="E28" s="26"/>
      <c r="G28" s="891"/>
      <c r="H28" s="892"/>
      <c r="I28" s="892"/>
      <c r="J28" s="893"/>
    </row>
    <row r="29" spans="2:11" x14ac:dyDescent="0.2">
      <c r="B29" s="175"/>
      <c r="C29" s="296"/>
      <c r="D29" s="168"/>
      <c r="E29" s="26"/>
      <c r="G29" s="757" t="str">
        <f>'Budget Hearing Notice'!H17</f>
        <v xml:space="preserve"> </v>
      </c>
      <c r="H29" s="758" t="str">
        <f>CONCATENATE("",E1," Estimated Fund Mill Rate")</f>
        <v>2023 Estimated Fund Mill Rate</v>
      </c>
      <c r="I29" s="759"/>
      <c r="J29" s="760"/>
    </row>
    <row r="30" spans="2:11" x14ac:dyDescent="0.2">
      <c r="B30" s="175"/>
      <c r="C30" s="296"/>
      <c r="D30" s="168"/>
      <c r="E30" s="26"/>
      <c r="G30" s="761" t="str">
        <f>'Budget Hearing Notice'!E17</f>
        <v xml:space="preserve">  </v>
      </c>
      <c r="H30" s="758" t="str">
        <f>CONCATENATE("",E1-1," Fund Mill Rate")</f>
        <v>2022 Fund Mill Rate</v>
      </c>
      <c r="I30" s="759"/>
      <c r="J30" s="760"/>
    </row>
    <row r="31" spans="2:11" x14ac:dyDescent="0.2">
      <c r="B31" s="175"/>
      <c r="C31" s="296"/>
      <c r="D31" s="168"/>
      <c r="E31" s="26"/>
      <c r="G31" s="762">
        <f>inputOth!D20</f>
        <v>34.689</v>
      </c>
      <c r="H31" s="763" t="s">
        <v>970</v>
      </c>
      <c r="I31" s="759"/>
      <c r="J31" s="760"/>
    </row>
    <row r="32" spans="2:11" x14ac:dyDescent="0.2">
      <c r="B32" s="294" t="str">
        <f>CONCATENATE("Cash Basis Reserve (",E1," column)")</f>
        <v>Cash Basis Reserve (2023 column)</v>
      </c>
      <c r="C32" s="296"/>
      <c r="D32" s="168"/>
      <c r="E32" s="26"/>
      <c r="G32" s="757">
        <f>'Budget Hearing Notice'!H43</f>
        <v>29.513999999999999</v>
      </c>
      <c r="H32" s="758" t="str">
        <f>CONCATENATE(E1," Estimated Total Mill Rate")</f>
        <v>2023 Estimated Total Mill Rate</v>
      </c>
      <c r="I32" s="759"/>
      <c r="J32" s="760"/>
    </row>
    <row r="33" spans="2:10" x14ac:dyDescent="0.2">
      <c r="B33" s="294" t="s">
        <v>192</v>
      </c>
      <c r="C33" s="296"/>
      <c r="D33" s="168"/>
      <c r="E33" s="26"/>
      <c r="G33" s="764">
        <f>'Budget Hearing Notice'!E43</f>
        <v>38.04</v>
      </c>
      <c r="H33" s="758" t="str">
        <f>CONCATENATE(E1-1," Total Mill Rate")</f>
        <v>2022 Total Mill Rate</v>
      </c>
      <c r="I33" s="759"/>
      <c r="J33" s="760"/>
    </row>
    <row r="34" spans="2:10" x14ac:dyDescent="0.2">
      <c r="B34" s="294" t="s">
        <v>518</v>
      </c>
      <c r="C34" s="295" t="str">
        <f>IF(C35*0.1&lt;C33,"Exceed 10% Rule","")</f>
        <v/>
      </c>
      <c r="D34" s="300" t="str">
        <f>IF(D35*0.1&lt;D33,"Exceed 10% Rule","")</f>
        <v/>
      </c>
      <c r="E34" s="293" t="str">
        <f>IF(E35*0.1&lt;E33,"Exceed 10% Rule","")</f>
        <v/>
      </c>
      <c r="G34" s="765"/>
      <c r="H34" s="766"/>
      <c r="I34" s="766"/>
      <c r="J34" s="767"/>
    </row>
    <row r="35" spans="2:10" x14ac:dyDescent="0.2">
      <c r="B35" s="177" t="s">
        <v>34</v>
      </c>
      <c r="C35" s="798">
        <f>SUM(C26:C33)</f>
        <v>0</v>
      </c>
      <c r="D35" s="798">
        <f>SUM(D26:D33)</f>
        <v>0</v>
      </c>
      <c r="E35" s="798">
        <f>SUM(E26:E33)</f>
        <v>0</v>
      </c>
      <c r="G35" s="894" t="s">
        <v>971</v>
      </c>
      <c r="H35" s="895"/>
      <c r="I35" s="895"/>
      <c r="J35" s="898" t="str">
        <f>IF(G32&gt;G31, "Yes", "No")</f>
        <v>No</v>
      </c>
    </row>
    <row r="36" spans="2:10" x14ac:dyDescent="0.2">
      <c r="B36" s="95" t="s">
        <v>100</v>
      </c>
      <c r="C36" s="428">
        <f>C24-C35</f>
        <v>0</v>
      </c>
      <c r="D36" s="428">
        <f>D24-D35</f>
        <v>0</v>
      </c>
      <c r="E36" s="193" t="s">
        <v>10</v>
      </c>
      <c r="G36" s="896"/>
      <c r="H36" s="897"/>
      <c r="I36" s="897"/>
      <c r="J36" s="899"/>
    </row>
    <row r="37" spans="2:10" x14ac:dyDescent="0.2">
      <c r="B37" s="110" t="str">
        <f>CONCATENATE("",E1-2,"/",E1-1,"/",E1," Budget Authority Amount:")</f>
        <v>2021/2022/2023 Budget Authority Amount:</v>
      </c>
      <c r="C37" s="428">
        <f>inputOth!B67</f>
        <v>0</v>
      </c>
      <c r="D37" s="591">
        <f>inputPrYr!D20</f>
        <v>0</v>
      </c>
      <c r="E37" s="139">
        <f>E35</f>
        <v>0</v>
      </c>
      <c r="F37" s="183"/>
      <c r="G37" s="900" t="str">
        <f>IF(J35="Yes", "Follow procedure prescribed by KSA 79-2988 to exceed the Revenue Neutral Rate.", " ")</f>
        <v xml:space="preserve"> </v>
      </c>
      <c r="H37" s="900"/>
      <c r="I37" s="900"/>
      <c r="J37" s="900"/>
    </row>
    <row r="38" spans="2:10" x14ac:dyDescent="0.2">
      <c r="B38" s="83"/>
      <c r="C38" s="881" t="s">
        <v>514</v>
      </c>
      <c r="D38" s="882"/>
      <c r="E38" s="26"/>
      <c r="F38" s="314" t="str">
        <f>IF(E35/0.95-E35&lt;E38,"Exceeds 5%","")</f>
        <v/>
      </c>
      <c r="G38" s="901"/>
      <c r="H38" s="901"/>
      <c r="I38" s="901"/>
      <c r="J38" s="901"/>
    </row>
    <row r="39" spans="2:10" x14ac:dyDescent="0.2">
      <c r="B39" s="301" t="str">
        <f>CONCATENATE(C94,"     ",D94)</f>
        <v xml:space="preserve">     </v>
      </c>
      <c r="C39" s="883" t="s">
        <v>515</v>
      </c>
      <c r="D39" s="884"/>
      <c r="E39" s="139">
        <f>E35+E38</f>
        <v>0</v>
      </c>
      <c r="G39" s="901"/>
      <c r="H39" s="901"/>
      <c r="I39" s="901"/>
      <c r="J39" s="901"/>
    </row>
    <row r="40" spans="2:10" x14ac:dyDescent="0.2">
      <c r="B40" s="301" t="str">
        <f>CONCATENATE(C95,"     ",D95)</f>
        <v xml:space="preserve">     </v>
      </c>
      <c r="C40" s="184"/>
      <c r="D40" s="108" t="s">
        <v>35</v>
      </c>
      <c r="E40" s="428">
        <f>IF(E39-E24&gt;0,E39-E24,0)</f>
        <v>0</v>
      </c>
    </row>
    <row r="41" spans="2:10" x14ac:dyDescent="0.2">
      <c r="B41" s="108"/>
      <c r="C41" s="289" t="s">
        <v>516</v>
      </c>
      <c r="D41" s="497">
        <f>inputOth!E52</f>
        <v>0.03</v>
      </c>
      <c r="E41" s="139">
        <f>ROUND(IF(D41&gt;0,(E40*D41),0),0)</f>
        <v>0</v>
      </c>
    </row>
    <row r="42" spans="2:10" ht="16.5" thickBot="1" x14ac:dyDescent="0.25">
      <c r="B42" s="6"/>
      <c r="C42" s="906" t="str">
        <f>CONCATENATE("Amount of  ",E1-1," Ad Valorem Tax")</f>
        <v>Amount of  2022 Ad Valorem Tax</v>
      </c>
      <c r="D42" s="907"/>
      <c r="E42" s="199">
        <f>E40+E41</f>
        <v>0</v>
      </c>
    </row>
    <row r="43" spans="2:10" ht="16.5" thickTop="1" x14ac:dyDescent="0.2">
      <c r="B43" s="6"/>
      <c r="C43" s="906"/>
      <c r="D43" s="906"/>
      <c r="E43" s="290"/>
    </row>
    <row r="44" spans="2:10" x14ac:dyDescent="0.2">
      <c r="B44" s="6"/>
      <c r="C44" s="290"/>
      <c r="D44" s="290"/>
      <c r="E44" s="290"/>
    </row>
    <row r="45" spans="2:10" x14ac:dyDescent="0.2">
      <c r="B45" s="9"/>
      <c r="C45" s="9"/>
      <c r="D45" s="292"/>
      <c r="E45" s="292"/>
    </row>
    <row r="46" spans="2:10" x14ac:dyDescent="0.2">
      <c r="B46" s="9" t="s">
        <v>20</v>
      </c>
      <c r="C46" s="539" t="str">
        <f t="shared" ref="C46:E47" si="0">C4</f>
        <v xml:space="preserve">Prior Year </v>
      </c>
      <c r="D46" s="540" t="str">
        <f t="shared" si="0"/>
        <v xml:space="preserve">Current Year </v>
      </c>
      <c r="E46" s="89" t="str">
        <f t="shared" si="0"/>
        <v xml:space="preserve">Proposed Budget </v>
      </c>
    </row>
    <row r="47" spans="2:10" x14ac:dyDescent="0.2">
      <c r="B47" s="298" t="str">
        <f>inputPrYr!B21</f>
        <v>Library</v>
      </c>
      <c r="C47" s="283" t="str">
        <f t="shared" si="0"/>
        <v>Actual for 2021</v>
      </c>
      <c r="D47" s="283" t="str">
        <f t="shared" si="0"/>
        <v>Estimate for 2022</v>
      </c>
      <c r="E47" s="124" t="str">
        <f t="shared" si="0"/>
        <v>Year for 2023</v>
      </c>
    </row>
    <row r="48" spans="2:10" x14ac:dyDescent="0.2">
      <c r="B48" s="95" t="s">
        <v>99</v>
      </c>
      <c r="C48" s="296"/>
      <c r="D48" s="282">
        <f>C75</f>
        <v>0</v>
      </c>
      <c r="E48" s="139">
        <f>D75</f>
        <v>0</v>
      </c>
    </row>
    <row r="49" spans="2:11" x14ac:dyDescent="0.2">
      <c r="B49" s="106" t="s">
        <v>101</v>
      </c>
      <c r="C49" s="95"/>
      <c r="D49" s="282"/>
      <c r="E49" s="139"/>
    </row>
    <row r="50" spans="2:11" x14ac:dyDescent="0.2">
      <c r="B50" s="95" t="s">
        <v>21</v>
      </c>
      <c r="C50" s="296"/>
      <c r="D50" s="282">
        <f>IF(inputPrYr!H21&gt;0,inputPrYr!G24,inputPrYr!E21)</f>
        <v>0</v>
      </c>
      <c r="E50" s="193" t="s">
        <v>10</v>
      </c>
    </row>
    <row r="51" spans="2:11" x14ac:dyDescent="0.2">
      <c r="B51" s="95" t="s">
        <v>22</v>
      </c>
      <c r="C51" s="296"/>
      <c r="D51" s="168"/>
      <c r="E51" s="26"/>
      <c r="G51" s="903" t="str">
        <f>CONCATENATE("Desired Carryover Into ",E1+1,"")</f>
        <v>Desired Carryover Into 2024</v>
      </c>
      <c r="H51" s="904"/>
      <c r="I51" s="904"/>
      <c r="J51" s="905"/>
    </row>
    <row r="52" spans="2:11" x14ac:dyDescent="0.2">
      <c r="B52" s="95" t="s">
        <v>23</v>
      </c>
      <c r="C52" s="296"/>
      <c r="D52" s="168"/>
      <c r="E52" s="139" t="str">
        <f>Mvalloc!D9</f>
        <v xml:space="preserve">  </v>
      </c>
      <c r="G52" s="660"/>
      <c r="H52" s="652"/>
      <c r="I52" s="659"/>
      <c r="J52" s="661"/>
    </row>
    <row r="53" spans="2:11" x14ac:dyDescent="0.2">
      <c r="B53" s="95" t="s">
        <v>24</v>
      </c>
      <c r="C53" s="296"/>
      <c r="D53" s="168"/>
      <c r="E53" s="139" t="str">
        <f>Mvalloc!E9</f>
        <v xml:space="preserve"> </v>
      </c>
      <c r="G53" s="662" t="s">
        <v>522</v>
      </c>
      <c r="H53" s="659"/>
      <c r="I53" s="659"/>
      <c r="J53" s="663">
        <v>0</v>
      </c>
    </row>
    <row r="54" spans="2:11" x14ac:dyDescent="0.2">
      <c r="B54" s="181" t="s">
        <v>91</v>
      </c>
      <c r="C54" s="296"/>
      <c r="D54" s="168"/>
      <c r="E54" s="139" t="str">
        <f>Mvalloc!F9</f>
        <v xml:space="preserve"> </v>
      </c>
      <c r="G54" s="660" t="s">
        <v>523</v>
      </c>
      <c r="H54" s="652"/>
      <c r="I54" s="652"/>
      <c r="J54" s="666" t="str">
        <f>IF(J53=0,"",ROUND((J53+E81-G66)/inputOth!E7*1000,3)-G71)</f>
        <v/>
      </c>
    </row>
    <row r="55" spans="2:11" x14ac:dyDescent="0.2">
      <c r="B55" s="646" t="s">
        <v>819</v>
      </c>
      <c r="C55" s="296"/>
      <c r="D55" s="168"/>
      <c r="E55" s="139" t="str">
        <f>Mvalloc!G9</f>
        <v xml:space="preserve"> </v>
      </c>
      <c r="G55" s="671" t="str">
        <f>CONCATENATE("",E1," Tot Exp/Non-Appr Must Be:")</f>
        <v>2023 Tot Exp/Non-Appr Must Be:</v>
      </c>
      <c r="H55" s="665"/>
      <c r="I55" s="664"/>
      <c r="J55" s="670">
        <f>IF(J53&gt;0,IF(E78&lt;E63,IF(J53=G66,E78,((J53-G66)*(1-D80))+E63),E78+(J53-G66)),0)</f>
        <v>0</v>
      </c>
    </row>
    <row r="56" spans="2:11" x14ac:dyDescent="0.2">
      <c r="B56" s="646" t="s">
        <v>820</v>
      </c>
      <c r="C56" s="296"/>
      <c r="D56" s="168"/>
      <c r="E56" s="139" t="str">
        <f>Mvalloc!H9</f>
        <v xml:space="preserve"> </v>
      </c>
      <c r="G56" s="672" t="s">
        <v>670</v>
      </c>
      <c r="H56" s="669"/>
      <c r="I56" s="669"/>
      <c r="J56" s="668">
        <f>IF(J53&gt;0,J55-E78,0)</f>
        <v>0</v>
      </c>
    </row>
    <row r="57" spans="2:11" x14ac:dyDescent="0.2">
      <c r="B57" s="26"/>
      <c r="C57" s="296"/>
      <c r="D57" s="168"/>
      <c r="E57" s="26"/>
    </row>
    <row r="58" spans="2:11" x14ac:dyDescent="0.2">
      <c r="B58" s="206" t="s">
        <v>26</v>
      </c>
      <c r="C58" s="296"/>
      <c r="D58" s="168"/>
      <c r="E58" s="26"/>
      <c r="G58" s="903" t="str">
        <f>CONCATENATE("Projected Carryover Into ",E1+1,"")</f>
        <v>Projected Carryover Into 2024</v>
      </c>
      <c r="H58" s="904"/>
      <c r="I58" s="904"/>
      <c r="J58" s="905"/>
    </row>
    <row r="59" spans="2:11" x14ac:dyDescent="0.2">
      <c r="B59" s="181" t="s">
        <v>193</v>
      </c>
      <c r="C59" s="296"/>
      <c r="D59" s="168"/>
      <c r="E59" s="428">
        <f>'NR Rebate'!E8*-1</f>
        <v>0</v>
      </c>
      <c r="G59" s="651"/>
      <c r="H59" s="652"/>
      <c r="I59" s="652"/>
      <c r="J59" s="649"/>
    </row>
    <row r="60" spans="2:11" x14ac:dyDescent="0.2">
      <c r="B60" s="95" t="s">
        <v>192</v>
      </c>
      <c r="C60" s="296"/>
      <c r="D60" s="168"/>
      <c r="E60" s="26"/>
      <c r="G60" s="654">
        <f>D75</f>
        <v>0</v>
      </c>
      <c r="H60" s="658" t="str">
        <f>CONCATENATE("",E1-1," Ending Cash Balance (est.)")</f>
        <v>2022 Ending Cash Balance (est.)</v>
      </c>
      <c r="I60" s="667"/>
      <c r="J60" s="649"/>
    </row>
    <row r="61" spans="2:11" x14ac:dyDescent="0.2">
      <c r="B61" s="95" t="s">
        <v>654</v>
      </c>
      <c r="C61" s="284" t="str">
        <f>IF(C62*0.1&lt;C60,"Exceed 10% Rule","")</f>
        <v/>
      </c>
      <c r="D61" s="299" t="str">
        <f>IF(D62*0.1&lt;D60,"Exceed 10% Rule","")</f>
        <v/>
      </c>
      <c r="E61" s="194" t="str">
        <f>IF(E63*0.01+E81&lt;E60,"Exceed 10% Rule","")</f>
        <v/>
      </c>
      <c r="G61" s="654">
        <f>E62</f>
        <v>0</v>
      </c>
      <c r="H61" s="659" t="str">
        <f>CONCATENATE("",E1," Non-AV Receipts (est.)")</f>
        <v>2023 Non-AV Receipts (est.)</v>
      </c>
      <c r="I61" s="667"/>
      <c r="J61" s="649"/>
    </row>
    <row r="62" spans="2:11" x14ac:dyDescent="0.2">
      <c r="B62" s="177" t="s">
        <v>27</v>
      </c>
      <c r="C62" s="798">
        <f>SUM(C50:C60)</f>
        <v>0</v>
      </c>
      <c r="D62" s="798">
        <f>SUM(D50:D60)</f>
        <v>0</v>
      </c>
      <c r="E62" s="798">
        <f>SUM(E50:E60)</f>
        <v>0</v>
      </c>
      <c r="G62" s="656">
        <f>IF(E80&gt;0,E79,E81)</f>
        <v>0</v>
      </c>
      <c r="H62" s="659" t="str">
        <f>CONCATENATE("",E1," Ad Valorem Tax (est.)")</f>
        <v>2023 Ad Valorem Tax (est.)</v>
      </c>
      <c r="I62" s="667"/>
      <c r="J62" s="649"/>
      <c r="K62" s="498" t="str">
        <f>IF(G62=E81,"","Note: Does not include Delinquent Taxes")</f>
        <v/>
      </c>
    </row>
    <row r="63" spans="2:11" x14ac:dyDescent="0.2">
      <c r="B63" s="177" t="s">
        <v>28</v>
      </c>
      <c r="C63" s="798">
        <f>C48+C62</f>
        <v>0</v>
      </c>
      <c r="D63" s="798">
        <f>D48+D62</f>
        <v>0</v>
      </c>
      <c r="E63" s="798">
        <f>E48+E62</f>
        <v>0</v>
      </c>
      <c r="G63" s="501">
        <f>SUM(G60:G62)</f>
        <v>0</v>
      </c>
      <c r="H63" s="659" t="str">
        <f>CONCATENATE("Total ",E1," Resources Available")</f>
        <v>Total 2023 Resources Available</v>
      </c>
      <c r="I63" s="653"/>
      <c r="J63" s="649"/>
    </row>
    <row r="64" spans="2:11" x14ac:dyDescent="0.2">
      <c r="B64" s="95" t="s">
        <v>30</v>
      </c>
      <c r="C64" s="95"/>
      <c r="D64" s="282"/>
      <c r="E64" s="139"/>
      <c r="G64" s="503"/>
      <c r="H64" s="655"/>
      <c r="I64" s="652"/>
      <c r="J64" s="649"/>
    </row>
    <row r="65" spans="2:10" x14ac:dyDescent="0.2">
      <c r="B65" s="175"/>
      <c r="C65" s="296"/>
      <c r="D65" s="168"/>
      <c r="E65" s="26"/>
      <c r="G65" s="502">
        <f>ROUND(C74*0.05+C74,0)</f>
        <v>0</v>
      </c>
      <c r="H65" s="655" t="str">
        <f>CONCATENATE("Less ",E1-2," Expenditures + 5%")</f>
        <v>Less 2021 Expenditures + 5%</v>
      </c>
      <c r="I65" s="653"/>
      <c r="J65" s="649"/>
    </row>
    <row r="66" spans="2:10" x14ac:dyDescent="0.2">
      <c r="B66" s="175"/>
      <c r="C66" s="296"/>
      <c r="D66" s="168"/>
      <c r="E66" s="26"/>
      <c r="G66" s="504">
        <f>G63-G65</f>
        <v>0</v>
      </c>
      <c r="H66" s="505" t="str">
        <f>CONCATENATE("Projected ",E1+1," carryover (est.)")</f>
        <v>Projected 2024 carryover (est.)</v>
      </c>
      <c r="I66" s="657"/>
      <c r="J66" s="479"/>
    </row>
    <row r="67" spans="2:10" x14ac:dyDescent="0.2">
      <c r="B67" s="175"/>
      <c r="C67" s="296"/>
      <c r="D67" s="168"/>
      <c r="E67" s="26"/>
    </row>
    <row r="68" spans="2:10" x14ac:dyDescent="0.2">
      <c r="B68" s="175"/>
      <c r="C68" s="296"/>
      <c r="D68" s="168"/>
      <c r="E68" s="26"/>
      <c r="G68" s="888" t="s">
        <v>969</v>
      </c>
      <c r="H68" s="889"/>
      <c r="I68" s="889"/>
      <c r="J68" s="890"/>
    </row>
    <row r="69" spans="2:10" x14ac:dyDescent="0.2">
      <c r="B69" s="175"/>
      <c r="C69" s="296"/>
      <c r="D69" s="168"/>
      <c r="E69" s="26"/>
      <c r="G69" s="891"/>
      <c r="H69" s="892"/>
      <c r="I69" s="892"/>
      <c r="J69" s="893"/>
    </row>
    <row r="70" spans="2:10" x14ac:dyDescent="0.2">
      <c r="B70" s="175"/>
      <c r="C70" s="296"/>
      <c r="D70" s="168"/>
      <c r="E70" s="26"/>
      <c r="G70" s="757" t="str">
        <f>'Budget Hearing Notice'!H18</f>
        <v xml:space="preserve"> </v>
      </c>
      <c r="H70" s="758" t="str">
        <f>CONCATENATE("",E1," Estimated Fund Mill Rate")</f>
        <v>2023 Estimated Fund Mill Rate</v>
      </c>
      <c r="I70" s="759"/>
      <c r="J70" s="760"/>
    </row>
    <row r="71" spans="2:10" x14ac:dyDescent="0.2">
      <c r="B71" s="175"/>
      <c r="C71" s="296"/>
      <c r="D71" s="168"/>
      <c r="E71" s="26"/>
      <c r="G71" s="761" t="str">
        <f>'Budget Hearing Notice'!E18</f>
        <v xml:space="preserve">  </v>
      </c>
      <c r="H71" s="758" t="str">
        <f>CONCATENATE("",E1-1," Fund Mill Rate")</f>
        <v>2022 Fund Mill Rate</v>
      </c>
      <c r="I71" s="759"/>
      <c r="J71" s="760"/>
    </row>
    <row r="72" spans="2:10" x14ac:dyDescent="0.2">
      <c r="B72" s="181" t="s">
        <v>192</v>
      </c>
      <c r="C72" s="296"/>
      <c r="D72" s="168"/>
      <c r="E72" s="26"/>
      <c r="G72" s="762">
        <f>inputOth!D20</f>
        <v>34.689</v>
      </c>
      <c r="H72" s="763" t="s">
        <v>970</v>
      </c>
      <c r="I72" s="759"/>
      <c r="J72" s="760"/>
    </row>
    <row r="73" spans="2:10" x14ac:dyDescent="0.2">
      <c r="B73" s="181" t="s">
        <v>517</v>
      </c>
      <c r="C73" s="284" t="str">
        <f>IF(C74*0.1&lt;C72,"Exceed 10% Rule","")</f>
        <v/>
      </c>
      <c r="D73" s="299" t="str">
        <f>IF(D74*0.1&lt;D72,"Exceed 10% Rule","")</f>
        <v/>
      </c>
      <c r="E73" s="194" t="str">
        <f>IF(E74*0.1&lt;E72,"Exceed 10% Rule","")</f>
        <v/>
      </c>
      <c r="G73" s="757">
        <f>'Budget Hearing Notice'!H43</f>
        <v>29.513999999999999</v>
      </c>
      <c r="H73" s="758" t="str">
        <f>CONCATENATE(E1," Estimated Total Mill Rate")</f>
        <v>2023 Estimated Total Mill Rate</v>
      </c>
      <c r="I73" s="759"/>
      <c r="J73" s="760"/>
    </row>
    <row r="74" spans="2:10" x14ac:dyDescent="0.2">
      <c r="B74" s="177" t="s">
        <v>34</v>
      </c>
      <c r="C74" s="798">
        <f>SUM(C65:C72)</f>
        <v>0</v>
      </c>
      <c r="D74" s="798">
        <f>SUM(D65:D72)</f>
        <v>0</v>
      </c>
      <c r="E74" s="798">
        <f>SUM(E65:E72)</f>
        <v>0</v>
      </c>
      <c r="G74" s="764">
        <f>'Budget Hearing Notice'!E43</f>
        <v>38.04</v>
      </c>
      <c r="H74" s="758" t="str">
        <f>CONCATENATE(E1-1," Total Mill Rate")</f>
        <v>2022 Total Mill Rate</v>
      </c>
      <c r="I74" s="759"/>
      <c r="J74" s="760"/>
    </row>
    <row r="75" spans="2:10" x14ac:dyDescent="0.2">
      <c r="B75" s="95" t="s">
        <v>100</v>
      </c>
      <c r="C75" s="428">
        <f>C63-C74</f>
        <v>0</v>
      </c>
      <c r="D75" s="428">
        <f>D63-D74</f>
        <v>0</v>
      </c>
      <c r="E75" s="193" t="s">
        <v>10</v>
      </c>
      <c r="G75" s="765"/>
      <c r="H75" s="766"/>
      <c r="I75" s="766"/>
      <c r="J75" s="767"/>
    </row>
    <row r="76" spans="2:10" x14ac:dyDescent="0.2">
      <c r="B76" s="110" t="str">
        <f>CONCATENATE("",E1-2,"/",E1-1,"/",E1," Budget Authority Amount:")</f>
        <v>2021/2022/2023 Budget Authority Amount:</v>
      </c>
      <c r="C76" s="428">
        <f>inputOth!B68</f>
        <v>0</v>
      </c>
      <c r="D76" s="428">
        <f>inputPrYr!D21</f>
        <v>0</v>
      </c>
      <c r="E76" s="139">
        <f>E74</f>
        <v>0</v>
      </c>
      <c r="G76" s="894" t="s">
        <v>971</v>
      </c>
      <c r="H76" s="895"/>
      <c r="I76" s="895"/>
      <c r="J76" s="898" t="str">
        <f>IF(G73&gt;G72, "Yes", "No")</f>
        <v>No</v>
      </c>
    </row>
    <row r="77" spans="2:10" x14ac:dyDescent="0.2">
      <c r="B77" s="83"/>
      <c r="C77" s="881" t="s">
        <v>514</v>
      </c>
      <c r="D77" s="882"/>
      <c r="E77" s="26"/>
      <c r="G77" s="896"/>
      <c r="H77" s="897"/>
      <c r="I77" s="897"/>
      <c r="J77" s="899"/>
    </row>
    <row r="78" spans="2:10" x14ac:dyDescent="0.2">
      <c r="B78" s="301" t="str">
        <f>CONCATENATE(C97,"     ",D97)</f>
        <v xml:space="preserve">     </v>
      </c>
      <c r="C78" s="883" t="s">
        <v>515</v>
      </c>
      <c r="D78" s="884"/>
      <c r="E78" s="139">
        <f>E74+E77</f>
        <v>0</v>
      </c>
      <c r="G78" s="900" t="str">
        <f>IF(J76="Yes", "Follow procedure prescribed by KSA 79-2988 to exceed the Revenue Neutral Rate.", " ")</f>
        <v xml:space="preserve"> </v>
      </c>
      <c r="H78" s="900"/>
      <c r="I78" s="900"/>
      <c r="J78" s="900"/>
    </row>
    <row r="79" spans="2:10" x14ac:dyDescent="0.2">
      <c r="B79" s="301" t="str">
        <f>CONCATENATE(C98,"     ",D98)</f>
        <v xml:space="preserve">     </v>
      </c>
      <c r="C79" s="184"/>
      <c r="D79" s="108" t="s">
        <v>35</v>
      </c>
      <c r="E79" s="428">
        <f>IF(E78-E63&gt;0,E78-E63,0)</f>
        <v>0</v>
      </c>
      <c r="G79" s="901"/>
      <c r="H79" s="901"/>
      <c r="I79" s="901"/>
      <c r="J79" s="901"/>
    </row>
    <row r="80" spans="2:10" x14ac:dyDescent="0.2">
      <c r="B80" s="108"/>
      <c r="C80" s="289" t="s">
        <v>516</v>
      </c>
      <c r="D80" s="497">
        <f>inputOth!E52</f>
        <v>0.03</v>
      </c>
      <c r="E80" s="139">
        <f>ROUND(IF(D80&gt;0,(E79*D80),0),0)</f>
        <v>0</v>
      </c>
      <c r="F80" s="586" t="str">
        <f>IF(E74/0.95-E74&lt;E77,"Exceeds 5%","")</f>
        <v/>
      </c>
      <c r="G80" s="901"/>
      <c r="H80" s="901"/>
      <c r="I80" s="901"/>
      <c r="J80" s="901"/>
    </row>
    <row r="81" spans="2:6" ht="16.5" thickBot="1" x14ac:dyDescent="0.25">
      <c r="B81" s="6"/>
      <c r="C81" s="906" t="str">
        <f>CONCATENATE("Amount of  ",E1-1," Ad Valorem Tax")</f>
        <v>Amount of  2022 Ad Valorem Tax</v>
      </c>
      <c r="D81" s="907"/>
      <c r="E81" s="199">
        <f>E79+E80</f>
        <v>0</v>
      </c>
    </row>
    <row r="82" spans="2:6" ht="16.5" thickTop="1" x14ac:dyDescent="0.2">
      <c r="B82" s="6"/>
      <c r="C82" s="906"/>
      <c r="D82" s="906"/>
      <c r="E82" s="6"/>
      <c r="F82" s="768" t="str">
        <f>IF('Library Grant '!F33="","",IF('Library Grant '!F33="Qualify","Qualifies for State Library Grant","See 'Library Grant' tab"))</f>
        <v>Qualifies for State Library Grant</v>
      </c>
    </row>
    <row r="83" spans="2:6" x14ac:dyDescent="0.2">
      <c r="B83" s="727" t="s">
        <v>839</v>
      </c>
      <c r="C83" s="693"/>
      <c r="D83" s="693"/>
      <c r="E83" s="694"/>
    </row>
    <row r="84" spans="2:6" x14ac:dyDescent="0.2">
      <c r="B84" s="38"/>
      <c r="C84" s="290"/>
      <c r="D84" s="290"/>
      <c r="E84" s="546"/>
    </row>
    <row r="85" spans="2:6" x14ac:dyDescent="0.2">
      <c r="B85" s="462"/>
      <c r="C85" s="695"/>
      <c r="D85" s="695"/>
      <c r="E85" s="45"/>
    </row>
    <row r="86" spans="2:6" x14ac:dyDescent="0.2">
      <c r="B86" s="6"/>
      <c r="C86" s="290"/>
      <c r="D86" s="108"/>
      <c r="E86" s="108"/>
    </row>
    <row r="87" spans="2:6" x14ac:dyDescent="0.2">
      <c r="B87" s="83" t="s">
        <v>37</v>
      </c>
      <c r="C87" s="599">
        <v>7</v>
      </c>
      <c r="D87" s="49"/>
      <c r="E87" s="6"/>
    </row>
    <row r="88" spans="2:6" x14ac:dyDescent="0.2">
      <c r="B88" s="288"/>
    </row>
    <row r="89" spans="2:6" x14ac:dyDescent="0.2">
      <c r="C89" s="54"/>
    </row>
    <row r="90" spans="2:6" x14ac:dyDescent="0.2">
      <c r="B90" s="54"/>
    </row>
    <row r="94" spans="2:6" hidden="1" x14ac:dyDescent="0.2">
      <c r="C94" s="7" t="str">
        <f>IF(C35&gt;C37,"See Tab A","")</f>
        <v/>
      </c>
      <c r="D94" s="7" t="str">
        <f>IF(D35&gt;D37,"See Tab C","")</f>
        <v/>
      </c>
    </row>
    <row r="95" spans="2:6" hidden="1" x14ac:dyDescent="0.2">
      <c r="C95" s="7" t="str">
        <f>IF(C36&lt;0,"See Tab B","")</f>
        <v/>
      </c>
      <c r="D95" s="7" t="str">
        <f>IF(D36&lt;0,"See Tab D","")</f>
        <v/>
      </c>
    </row>
    <row r="96" spans="2:6" hidden="1" x14ac:dyDescent="0.2"/>
    <row r="97" spans="3:4" hidden="1" x14ac:dyDescent="0.2">
      <c r="C97" s="7" t="str">
        <f>IF(C74&gt;C76,"See Tab A","")</f>
        <v/>
      </c>
      <c r="D97" s="7" t="str">
        <f>IF(D74&gt;D76,"See Tab C","")</f>
        <v/>
      </c>
    </row>
    <row r="98" spans="3:4" hidden="1" x14ac:dyDescent="0.2">
      <c r="C98" s="7" t="str">
        <f>IF(C75&lt;0,"See Tab B","")</f>
        <v/>
      </c>
      <c r="D98" s="7" t="str">
        <f>IF(D75&lt;0,"See Tab D","")</f>
        <v/>
      </c>
    </row>
  </sheetData>
  <sheetProtection sheet="1" objects="1" scenarios="1"/>
  <mergeCells count="20">
    <mergeCell ref="G10:J10"/>
    <mergeCell ref="G51:J51"/>
    <mergeCell ref="C82:D82"/>
    <mergeCell ref="C81:D81"/>
    <mergeCell ref="C77:D77"/>
    <mergeCell ref="C78:D78"/>
    <mergeCell ref="G17:J17"/>
    <mergeCell ref="G58:J58"/>
    <mergeCell ref="C38:D38"/>
    <mergeCell ref="C39:D39"/>
    <mergeCell ref="C42:D42"/>
    <mergeCell ref="C43:D43"/>
    <mergeCell ref="G27:J28"/>
    <mergeCell ref="G35:I36"/>
    <mergeCell ref="G78:J80"/>
    <mergeCell ref="J35:J36"/>
    <mergeCell ref="G37:J39"/>
    <mergeCell ref="G68:J69"/>
    <mergeCell ref="G76:I77"/>
    <mergeCell ref="J76:J77"/>
  </mergeCells>
  <phoneticPr fontId="9" type="noConversion"/>
  <conditionalFormatting sqref="E72">
    <cfRule type="cellIs" dxfId="256" priority="22" stopIfTrue="1" operator="greaterThan">
      <formula>$E$74*0.1</formula>
    </cfRule>
  </conditionalFormatting>
  <conditionalFormatting sqref="E77">
    <cfRule type="cellIs" dxfId="255" priority="21" stopIfTrue="1" operator="greaterThan">
      <formula>$E$74/0.95-$E$74</formula>
    </cfRule>
  </conditionalFormatting>
  <conditionalFormatting sqref="E33">
    <cfRule type="cellIs" dxfId="254" priority="20" stopIfTrue="1" operator="greaterThan">
      <formula>$E$35*0.1</formula>
    </cfRule>
  </conditionalFormatting>
  <conditionalFormatting sqref="E38">
    <cfRule type="cellIs" dxfId="253" priority="19" stopIfTrue="1" operator="greaterThan">
      <formula>$E$35/0.95-$E$35</formula>
    </cfRule>
  </conditionalFormatting>
  <conditionalFormatting sqref="C33">
    <cfRule type="cellIs" dxfId="252" priority="13" stopIfTrue="1" operator="greaterThan">
      <formula>$C$35*0.1</formula>
    </cfRule>
  </conditionalFormatting>
  <conditionalFormatting sqref="D33">
    <cfRule type="cellIs" dxfId="251" priority="12" stopIfTrue="1" operator="greaterThan">
      <formula>$D$35*0.1</formula>
    </cfRule>
  </conditionalFormatting>
  <conditionalFormatting sqref="C72">
    <cfRule type="cellIs" dxfId="250" priority="11" stopIfTrue="1" operator="greaterThan">
      <formula>$C$74*0.1</formula>
    </cfRule>
  </conditionalFormatting>
  <conditionalFormatting sqref="D72">
    <cfRule type="cellIs" dxfId="249" priority="10" stopIfTrue="1" operator="greaterThan">
      <formula>$D$74*0.1</formula>
    </cfRule>
  </conditionalFormatting>
  <conditionalFormatting sqref="D21">
    <cfRule type="cellIs" dxfId="248" priority="9" stopIfTrue="1" operator="greaterThan">
      <formula>$D$23*0.1</formula>
    </cfRule>
  </conditionalFormatting>
  <conditionalFormatting sqref="C21">
    <cfRule type="cellIs" dxfId="247" priority="8" stopIfTrue="1" operator="greaterThan">
      <formula>$C$23*0.1</formula>
    </cfRule>
  </conditionalFormatting>
  <conditionalFormatting sqref="E21">
    <cfRule type="cellIs" dxfId="246" priority="7" stopIfTrue="1" operator="greaterThan">
      <formula>$E$23*0.1+E42</formula>
    </cfRule>
  </conditionalFormatting>
  <conditionalFormatting sqref="C60">
    <cfRule type="cellIs" dxfId="245" priority="6" stopIfTrue="1" operator="greaterThan">
      <formula>$C$62*0.1</formula>
    </cfRule>
  </conditionalFormatting>
  <conditionalFormatting sqref="D60">
    <cfRule type="cellIs" dxfId="244" priority="5" stopIfTrue="1" operator="greaterThan">
      <formula>$D$62*0.1</formula>
    </cfRule>
  </conditionalFormatting>
  <conditionalFormatting sqref="E60">
    <cfRule type="cellIs" dxfId="243" priority="4" stopIfTrue="1" operator="greaterThan">
      <formula>$E$62*0.1+E81</formula>
    </cfRule>
  </conditionalFormatting>
  <conditionalFormatting sqref="J35">
    <cfRule type="containsText" dxfId="242" priority="2" operator="containsText" text="Yes">
      <formula>NOT(ISERROR(SEARCH("Yes",J35)))</formula>
    </cfRule>
  </conditionalFormatting>
  <conditionalFormatting sqref="J76">
    <cfRule type="containsText" dxfId="241" priority="1" operator="containsText" text="Yes">
      <formula>NOT(ISERROR(SEARCH("Yes",J76)))</formula>
    </cfRule>
  </conditionalFormatting>
  <pageMargins left="0.75" right="0.75" top="1" bottom="1" header="0.5" footer="0.5"/>
  <pageSetup scale="49" orientation="portrait" blackAndWhite="1" r:id="rId1"/>
  <headerFooter alignWithMargins="0">
    <oddHeader>&amp;RState of Kansas
City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00B0F0"/>
    <pageSetUpPr fitToPage="1"/>
  </sheetPr>
  <dimension ref="B1:K102"/>
  <sheetViews>
    <sheetView zoomScaleNormal="100" workbookViewId="0">
      <selection activeCell="E90" sqref="E90"/>
    </sheetView>
  </sheetViews>
  <sheetFormatPr defaultRowHeight="15.75" x14ac:dyDescent="0.2"/>
  <cols>
    <col min="1" max="1" width="2.44140625" style="7" customWidth="1"/>
    <col min="2" max="2" width="31.109375" style="7" customWidth="1"/>
    <col min="3" max="4" width="15.77734375" style="7" customWidth="1"/>
    <col min="5" max="5" width="16.33203125" style="7" customWidth="1"/>
    <col min="6" max="6" width="8.88671875" style="7"/>
    <col min="7" max="7" width="10.21875" style="7" customWidth="1"/>
    <col min="8" max="8" width="8.88671875" style="7"/>
    <col min="9" max="9" width="5.88671875" style="7" customWidth="1"/>
    <col min="10" max="10" width="10" style="7" customWidth="1"/>
    <col min="11" max="16384" width="8.88671875" style="7"/>
  </cols>
  <sheetData>
    <row r="1" spans="2:10" x14ac:dyDescent="0.2">
      <c r="B1" s="112" t="str">
        <f>(inputPrYr!D3)</f>
        <v>Valley Falls</v>
      </c>
      <c r="C1" s="6"/>
      <c r="D1" s="6"/>
      <c r="E1" s="158">
        <f>inputPrYr!C6</f>
        <v>2023</v>
      </c>
    </row>
    <row r="2" spans="2:10" x14ac:dyDescent="0.2">
      <c r="B2" s="6"/>
      <c r="C2" s="6"/>
      <c r="D2" s="6"/>
      <c r="E2" s="108"/>
    </row>
    <row r="3" spans="2:10" x14ac:dyDescent="0.2">
      <c r="B3" s="17" t="s">
        <v>84</v>
      </c>
      <c r="C3" s="117"/>
      <c r="D3" s="117"/>
      <c r="E3" s="196"/>
    </row>
    <row r="4" spans="2:10" x14ac:dyDescent="0.2">
      <c r="B4" s="9" t="s">
        <v>20</v>
      </c>
      <c r="C4" s="539" t="s">
        <v>665</v>
      </c>
      <c r="D4" s="540" t="s">
        <v>668</v>
      </c>
      <c r="E4" s="89" t="s">
        <v>669</v>
      </c>
    </row>
    <row r="5" spans="2:10" x14ac:dyDescent="0.2">
      <c r="B5" s="298" t="str">
        <f>inputPrYr!B23</f>
        <v>Bond &amp; Interest</v>
      </c>
      <c r="C5" s="283" t="str">
        <f>CONCATENATE("Actual for ",E1-2,"")</f>
        <v>Actual for 2021</v>
      </c>
      <c r="D5" s="283" t="str">
        <f>CONCATENATE("Estimate for ",E1-1,"")</f>
        <v>Estimate for 2022</v>
      </c>
      <c r="E5" s="166" t="str">
        <f>CONCATENATE("Year for ",E1,"")</f>
        <v>Year for 2023</v>
      </c>
    </row>
    <row r="6" spans="2:10" x14ac:dyDescent="0.2">
      <c r="B6" s="167" t="s">
        <v>99</v>
      </c>
      <c r="C6" s="168">
        <v>295386</v>
      </c>
      <c r="D6" s="282">
        <f>C34</f>
        <v>337819</v>
      </c>
      <c r="E6" s="139">
        <f>D34</f>
        <v>337819</v>
      </c>
    </row>
    <row r="7" spans="2:10" x14ac:dyDescent="0.2">
      <c r="B7" s="170" t="s">
        <v>101</v>
      </c>
      <c r="C7" s="103"/>
      <c r="D7" s="103"/>
      <c r="E7" s="41"/>
    </row>
    <row r="8" spans="2:10" x14ac:dyDescent="0.2">
      <c r="B8" s="95" t="s">
        <v>21</v>
      </c>
      <c r="C8" s="168"/>
      <c r="D8" s="282">
        <f>IF(inputPrYr!H21&gt;0,inputPrYr!G26,inputPrYr!E23)</f>
        <v>0</v>
      </c>
      <c r="E8" s="193" t="s">
        <v>10</v>
      </c>
    </row>
    <row r="9" spans="2:10" x14ac:dyDescent="0.2">
      <c r="B9" s="95" t="s">
        <v>22</v>
      </c>
      <c r="C9" s="168"/>
      <c r="D9" s="168"/>
      <c r="E9" s="26"/>
    </row>
    <row r="10" spans="2:10" x14ac:dyDescent="0.2">
      <c r="B10" s="95" t="s">
        <v>23</v>
      </c>
      <c r="C10" s="168"/>
      <c r="D10" s="168"/>
      <c r="E10" s="139" t="str">
        <f>Mvalloc!D10</f>
        <v xml:space="preserve">  </v>
      </c>
    </row>
    <row r="11" spans="2:10" x14ac:dyDescent="0.2">
      <c r="B11" s="95" t="s">
        <v>24</v>
      </c>
      <c r="C11" s="168"/>
      <c r="D11" s="168"/>
      <c r="E11" s="139" t="str">
        <f>Mvalloc!E10</f>
        <v xml:space="preserve"> </v>
      </c>
      <c r="G11" s="902" t="str">
        <f>CONCATENATE("Desired Carryover Into ",E1+1,"")</f>
        <v>Desired Carryover Into 2024</v>
      </c>
      <c r="H11" s="910"/>
      <c r="I11" s="910"/>
      <c r="J11" s="911"/>
    </row>
    <row r="12" spans="2:10" x14ac:dyDescent="0.2">
      <c r="B12" s="103" t="s">
        <v>91</v>
      </c>
      <c r="C12" s="168"/>
      <c r="D12" s="168"/>
      <c r="E12" s="139" t="str">
        <f>Mvalloc!F10</f>
        <v xml:space="preserve"> </v>
      </c>
      <c r="G12" s="561"/>
      <c r="H12" s="640"/>
      <c r="I12" s="555"/>
      <c r="J12" s="562"/>
    </row>
    <row r="13" spans="2:10" x14ac:dyDescent="0.2">
      <c r="B13" s="646" t="s">
        <v>819</v>
      </c>
      <c r="C13" s="168"/>
      <c r="D13" s="168"/>
      <c r="E13" s="139" t="str">
        <f>Mvalloc!G10</f>
        <v xml:space="preserve"> </v>
      </c>
      <c r="G13" s="560" t="s">
        <v>522</v>
      </c>
      <c r="H13" s="555"/>
      <c r="I13" s="555"/>
      <c r="J13" s="549">
        <v>0</v>
      </c>
    </row>
    <row r="14" spans="2:10" x14ac:dyDescent="0.2">
      <c r="B14" s="646" t="s">
        <v>820</v>
      </c>
      <c r="C14" s="168"/>
      <c r="D14" s="168"/>
      <c r="E14" s="139" t="str">
        <f>Mvalloc!H10</f>
        <v xml:space="preserve"> </v>
      </c>
      <c r="G14" s="561" t="s">
        <v>523</v>
      </c>
      <c r="H14" s="640"/>
      <c r="I14" s="640"/>
      <c r="J14" s="575" t="str">
        <f>IF(J13=0,"",ROUND((J13+E40-G26)/inputOth!E7*1000,3)-G31)</f>
        <v/>
      </c>
    </row>
    <row r="15" spans="2:10" ht="15.75" customHeight="1" x14ac:dyDescent="0.2">
      <c r="B15" s="175" t="s">
        <v>1074</v>
      </c>
      <c r="C15" s="168">
        <v>149300</v>
      </c>
      <c r="D15" s="168">
        <v>108000</v>
      </c>
      <c r="E15" s="26">
        <v>108000</v>
      </c>
      <c r="G15" s="573" t="str">
        <f>CONCATENATE("",E1," Tot Exp/Non-Appr Must Be:")</f>
        <v>2023 Tot Exp/Non-Appr Must Be:</v>
      </c>
      <c r="H15" s="571"/>
      <c r="I15" s="572"/>
      <c r="J15" s="570">
        <f>IF(J13&gt;0,IF(E37&lt;E22,IF(J13=G26,E37,((J13-G26)*(1-D39))+E22),E37+(J13-G26)),0)</f>
        <v>0</v>
      </c>
    </row>
    <row r="16" spans="2:10" x14ac:dyDescent="0.2">
      <c r="B16" s="175" t="s">
        <v>146</v>
      </c>
      <c r="C16" s="168"/>
      <c r="D16" s="168"/>
      <c r="E16" s="26">
        <v>30000</v>
      </c>
      <c r="G16" s="495" t="s">
        <v>670</v>
      </c>
      <c r="H16" s="578"/>
      <c r="I16" s="578"/>
      <c r="J16" s="574">
        <f>IF(J13&gt;0,J15-E37,0)</f>
        <v>0</v>
      </c>
    </row>
    <row r="17" spans="2:11" x14ac:dyDescent="0.25">
      <c r="B17" s="175" t="s">
        <v>1108</v>
      </c>
      <c r="C17" s="168"/>
      <c r="D17" s="168"/>
      <c r="E17" s="26">
        <v>44393</v>
      </c>
      <c r="J17" s="543"/>
    </row>
    <row r="18" spans="2:11" x14ac:dyDescent="0.2">
      <c r="B18" s="181" t="s">
        <v>193</v>
      </c>
      <c r="C18" s="168"/>
      <c r="D18" s="168"/>
      <c r="E18" s="673">
        <f>'NR Rebate'!E9*-1</f>
        <v>0</v>
      </c>
      <c r="G18" s="902" t="str">
        <f>CONCATENATE("Projected Carryover Into ",E1+1,"")</f>
        <v>Projected Carryover Into 2024</v>
      </c>
      <c r="H18" s="910"/>
      <c r="I18" s="910"/>
      <c r="J18" s="911"/>
    </row>
    <row r="19" spans="2:11" x14ac:dyDescent="0.25">
      <c r="B19" s="103" t="s">
        <v>192</v>
      </c>
      <c r="C19" s="168"/>
      <c r="D19" s="168"/>
      <c r="E19" s="26"/>
      <c r="G19" s="561"/>
      <c r="H19" s="555"/>
      <c r="I19" s="555"/>
      <c r="J19" s="580"/>
    </row>
    <row r="20" spans="2:11" x14ac:dyDescent="0.25">
      <c r="B20" s="167" t="s">
        <v>654</v>
      </c>
      <c r="C20" s="280" t="str">
        <f>IF(C21*0.1&lt;C19,"Exceed 10% Rule","")</f>
        <v/>
      </c>
      <c r="D20" s="280" t="str">
        <f>IF(D21*0.1&lt;D19,"Exceed 10% Rule","")</f>
        <v/>
      </c>
      <c r="E20" s="287" t="str">
        <f>IF(E21*0.1+E40&lt;E19,"Exceed 10% Rule","")</f>
        <v/>
      </c>
      <c r="G20" s="552">
        <f>D34</f>
        <v>337819</v>
      </c>
      <c r="H20" s="648" t="str">
        <f>CONCATENATE("",E1-1," Ending Cash Balance (est.)")</f>
        <v>2022 Ending Cash Balance (est.)</v>
      </c>
      <c r="I20" s="554"/>
      <c r="J20" s="580"/>
    </row>
    <row r="21" spans="2:11" x14ac:dyDescent="0.25">
      <c r="B21" s="177" t="s">
        <v>27</v>
      </c>
      <c r="C21" s="285">
        <f>SUM(C8:C19)</f>
        <v>149300</v>
      </c>
      <c r="D21" s="285">
        <f>SUM(D8:D19)</f>
        <v>108000</v>
      </c>
      <c r="E21" s="198">
        <f>SUM(E8:E19)</f>
        <v>182393</v>
      </c>
      <c r="G21" s="552">
        <f>E21</f>
        <v>182393</v>
      </c>
      <c r="H21" s="555" t="str">
        <f>CONCATENATE("",E1," Non-AV Receipts (est.)")</f>
        <v>2023 Non-AV Receipts (est.)</v>
      </c>
      <c r="I21" s="554"/>
      <c r="J21" s="580"/>
    </row>
    <row r="22" spans="2:11" x14ac:dyDescent="0.2">
      <c r="B22" s="177" t="s">
        <v>28</v>
      </c>
      <c r="C22" s="282">
        <f>C6+C21</f>
        <v>444686</v>
      </c>
      <c r="D22" s="282">
        <f>D6+D21</f>
        <v>445819</v>
      </c>
      <c r="E22" s="139">
        <f>E6+E21</f>
        <v>520212</v>
      </c>
      <c r="G22" s="556">
        <f>IF(E39&gt;0,E38,E40)</f>
        <v>0</v>
      </c>
      <c r="H22" s="555" t="str">
        <f>CONCATENATE("",E1," Ad Valorem Tax (est.)")</f>
        <v>2023 Ad Valorem Tax (est.)</v>
      </c>
      <c r="I22" s="554"/>
      <c r="J22" s="582"/>
      <c r="K22" s="498" t="str">
        <f>IF(G22=E40,"","Note: Does not include Delinquent Taxes")</f>
        <v/>
      </c>
    </row>
    <row r="23" spans="2:11" x14ac:dyDescent="0.25">
      <c r="B23" s="95" t="s">
        <v>30</v>
      </c>
      <c r="C23" s="181"/>
      <c r="D23" s="181"/>
      <c r="E23" s="24"/>
      <c r="G23" s="552">
        <f>SUM(G20:G22)</f>
        <v>520212</v>
      </c>
      <c r="H23" s="555" t="str">
        <f>CONCATENATE("Total ",E1," Resources Available")</f>
        <v>Total 2023 Resources Available</v>
      </c>
      <c r="I23" s="554"/>
      <c r="J23" s="580"/>
    </row>
    <row r="24" spans="2:11" x14ac:dyDescent="0.25">
      <c r="B24" s="175" t="s">
        <v>1109</v>
      </c>
      <c r="C24" s="296"/>
      <c r="D24" s="168">
        <v>65000</v>
      </c>
      <c r="E24" s="26">
        <v>65000</v>
      </c>
      <c r="G24" s="557"/>
      <c r="H24" s="555"/>
      <c r="I24" s="555"/>
      <c r="J24" s="580"/>
    </row>
    <row r="25" spans="2:11" x14ac:dyDescent="0.25">
      <c r="B25" s="175" t="s">
        <v>1110</v>
      </c>
      <c r="C25" s="296">
        <v>105867</v>
      </c>
      <c r="D25" s="168">
        <v>39763</v>
      </c>
      <c r="E25" s="26">
        <v>38528</v>
      </c>
      <c r="G25" s="556">
        <f>ROUND(C33*0.05+C33,0)</f>
        <v>112210</v>
      </c>
      <c r="H25" s="555" t="str">
        <f>CONCATENATE("Less ",E1-2," Expenditures + 5%")</f>
        <v>Less 2021 Expenditures + 5%</v>
      </c>
      <c r="I25" s="554"/>
      <c r="J25" s="580"/>
    </row>
    <row r="26" spans="2:11" x14ac:dyDescent="0.25">
      <c r="B26" s="175" t="s">
        <v>1111</v>
      </c>
      <c r="C26" s="296">
        <v>1000</v>
      </c>
      <c r="D26" s="168">
        <v>0</v>
      </c>
      <c r="E26" s="26">
        <v>0</v>
      </c>
      <c r="G26" s="576">
        <f>G23-G25</f>
        <v>408002</v>
      </c>
      <c r="H26" s="577" t="str">
        <f>CONCATENATE("Projected ",E1+1," carryover (est.)")</f>
        <v>Projected 2024 carryover (est.)</v>
      </c>
      <c r="I26" s="558"/>
      <c r="J26" s="581"/>
    </row>
    <row r="27" spans="2:11" x14ac:dyDescent="0.25">
      <c r="B27" s="175" t="s">
        <v>1108</v>
      </c>
      <c r="C27" s="296"/>
      <c r="D27" s="168">
        <v>3237</v>
      </c>
      <c r="E27" s="26">
        <v>78865</v>
      </c>
      <c r="G27" s="543"/>
      <c r="H27" s="543"/>
      <c r="I27" s="543"/>
      <c r="J27" s="543"/>
    </row>
    <row r="28" spans="2:11" x14ac:dyDescent="0.2">
      <c r="B28" s="180"/>
      <c r="C28" s="168"/>
      <c r="D28" s="168"/>
      <c r="E28" s="26"/>
      <c r="G28" s="888" t="s">
        <v>969</v>
      </c>
      <c r="H28" s="889"/>
      <c r="I28" s="889"/>
      <c r="J28" s="890"/>
    </row>
    <row r="29" spans="2:11" x14ac:dyDescent="0.2">
      <c r="B29" s="180"/>
      <c r="C29" s="168"/>
      <c r="D29" s="168"/>
      <c r="E29" s="26"/>
      <c r="G29" s="891"/>
      <c r="H29" s="914"/>
      <c r="I29" s="914"/>
      <c r="J29" s="893"/>
    </row>
    <row r="30" spans="2:11" x14ac:dyDescent="0.2">
      <c r="B30" s="181" t="str">
        <f>CONCATENATE("Cash Forward (",E1," column)")</f>
        <v>Cash Forward (2023 column)</v>
      </c>
      <c r="C30" s="168"/>
      <c r="D30" s="168"/>
      <c r="E30" s="26"/>
      <c r="G30" s="757" t="str">
        <f>'Budget Hearing Notice'!H19</f>
        <v xml:space="preserve">  </v>
      </c>
      <c r="H30" s="758" t="str">
        <f>CONCATENATE("",E1," Estimated Fund Mill Rate")</f>
        <v>2023 Estimated Fund Mill Rate</v>
      </c>
      <c r="I30" s="759"/>
      <c r="J30" s="760"/>
    </row>
    <row r="31" spans="2:11" x14ac:dyDescent="0.2">
      <c r="B31" s="181" t="s">
        <v>192</v>
      </c>
      <c r="C31" s="168"/>
      <c r="D31" s="168"/>
      <c r="E31" s="26"/>
      <c r="G31" s="761" t="str">
        <f>'Budget Hearing Notice'!E19</f>
        <v xml:space="preserve">  </v>
      </c>
      <c r="H31" s="758" t="str">
        <f>CONCATENATE("",E1-1," Fund Mill Rate")</f>
        <v>2022 Fund Mill Rate</v>
      </c>
      <c r="I31" s="759"/>
      <c r="J31" s="760"/>
    </row>
    <row r="32" spans="2:11" x14ac:dyDescent="0.2">
      <c r="B32" s="181" t="s">
        <v>655</v>
      </c>
      <c r="C32" s="280" t="str">
        <f>IF(C33*0.1&lt;C31,"Exceed 10% Rule","")</f>
        <v/>
      </c>
      <c r="D32" s="280" t="str">
        <f>IF(D33*0.1&lt;D31,"Exceed 10% Rule","")</f>
        <v/>
      </c>
      <c r="E32" s="287" t="str">
        <f>IF(E33*0.1&lt;E31,"Exceed 10% Rule","")</f>
        <v/>
      </c>
      <c r="G32" s="762">
        <f>inputOth!D20</f>
        <v>34.689</v>
      </c>
      <c r="H32" s="763" t="s">
        <v>970</v>
      </c>
      <c r="I32" s="759"/>
      <c r="J32" s="760"/>
    </row>
    <row r="33" spans="2:10" x14ac:dyDescent="0.2">
      <c r="B33" s="177" t="s">
        <v>34</v>
      </c>
      <c r="C33" s="285">
        <f>SUM(C24:C31)</f>
        <v>106867</v>
      </c>
      <c r="D33" s="285">
        <f>SUM(D24:D31)</f>
        <v>108000</v>
      </c>
      <c r="E33" s="198">
        <f>SUM(E24:E31)</f>
        <v>182393</v>
      </c>
      <c r="G33" s="757">
        <f>'Budget Hearing Notice'!H43</f>
        <v>29.513999999999999</v>
      </c>
      <c r="H33" s="758" t="str">
        <f>CONCATENATE(E1," Estimated Total Mill Rate")</f>
        <v>2023 Estimated Total Mill Rate</v>
      </c>
      <c r="I33" s="759"/>
      <c r="J33" s="760"/>
    </row>
    <row r="34" spans="2:10" x14ac:dyDescent="0.2">
      <c r="B34" s="95" t="s">
        <v>100</v>
      </c>
      <c r="C34" s="282">
        <f>C22-C33</f>
        <v>337819</v>
      </c>
      <c r="D34" s="282">
        <f>D22-D33</f>
        <v>337819</v>
      </c>
      <c r="E34" s="193" t="s">
        <v>10</v>
      </c>
      <c r="G34" s="764">
        <f>'Budget Hearing Notice'!E43</f>
        <v>38.04</v>
      </c>
      <c r="H34" s="758" t="str">
        <f>CONCATENATE(E1-1," Total Mill Rate")</f>
        <v>2022 Total Mill Rate</v>
      </c>
      <c r="I34" s="759"/>
      <c r="J34" s="760"/>
    </row>
    <row r="35" spans="2:10" x14ac:dyDescent="0.2">
      <c r="B35" s="110" t="str">
        <f>CONCATENATE("",E1-2,"/",E1-1,"/",E1," Budget Authority Amount:")</f>
        <v>2021/2022/2023 Budget Authority Amount:</v>
      </c>
      <c r="C35" s="428">
        <f>inputOth!B69</f>
        <v>106868</v>
      </c>
      <c r="D35" s="591">
        <f>inputPrYr!D23</f>
        <v>108000</v>
      </c>
      <c r="E35" s="139">
        <f>E33</f>
        <v>182393</v>
      </c>
      <c r="G35" s="765"/>
      <c r="H35" s="766"/>
      <c r="I35" s="766"/>
      <c r="J35" s="767"/>
    </row>
    <row r="36" spans="2:10" ht="15.75" customHeight="1" x14ac:dyDescent="0.2">
      <c r="B36" s="83"/>
      <c r="C36" s="881" t="s">
        <v>514</v>
      </c>
      <c r="D36" s="882"/>
      <c r="E36" s="26"/>
      <c r="G36" s="894" t="s">
        <v>971</v>
      </c>
      <c r="H36" s="895"/>
      <c r="I36" s="895"/>
      <c r="J36" s="898" t="str">
        <f>IF(G33&gt;G32, "Yes", "No")</f>
        <v>No</v>
      </c>
    </row>
    <row r="37" spans="2:10" x14ac:dyDescent="0.2">
      <c r="B37" s="301" t="str">
        <f>CONCATENATE(C99,"     ",D99)</f>
        <v xml:space="preserve">     </v>
      </c>
      <c r="C37" s="883" t="s">
        <v>515</v>
      </c>
      <c r="D37" s="884"/>
      <c r="E37" s="139">
        <f>SUM(E33+E36)</f>
        <v>182393</v>
      </c>
      <c r="F37" s="183"/>
      <c r="G37" s="896"/>
      <c r="H37" s="897"/>
      <c r="I37" s="897"/>
      <c r="J37" s="899"/>
    </row>
    <row r="38" spans="2:10" x14ac:dyDescent="0.2">
      <c r="B38" s="301" t="str">
        <f>CONCATENATE(C100,"     ",D100)</f>
        <v xml:space="preserve">     </v>
      </c>
      <c r="C38" s="289"/>
      <c r="D38" s="108" t="s">
        <v>35</v>
      </c>
      <c r="E38" s="139">
        <f>IF(E37-E22&gt;0,E37-E22,0)</f>
        <v>0</v>
      </c>
      <c r="F38" s="586" t="str">
        <f>IF(E33/0.95-E33&lt;E36,"Exceeds 5%","")</f>
        <v/>
      </c>
      <c r="G38" s="900" t="str">
        <f>IF(J36="Yes", "Follow procedure prescribed by KSA 79-2988 to exceed the Revenue Neutral Rate.", " ")</f>
        <v xml:space="preserve"> </v>
      </c>
      <c r="H38" s="900"/>
      <c r="I38" s="900"/>
      <c r="J38" s="900"/>
    </row>
    <row r="39" spans="2:10" x14ac:dyDescent="0.2">
      <c r="B39" s="301"/>
      <c r="C39" s="289" t="s">
        <v>516</v>
      </c>
      <c r="D39" s="497">
        <f>inputOth!$E$52</f>
        <v>0.03</v>
      </c>
      <c r="E39" s="139">
        <f>ROUND(IF(D39&gt;0,(E38*D39),0),0)</f>
        <v>0</v>
      </c>
      <c r="G39" s="901"/>
      <c r="H39" s="901"/>
      <c r="I39" s="901"/>
      <c r="J39" s="901"/>
    </row>
    <row r="40" spans="2:10" ht="16.5" thickBot="1" x14ac:dyDescent="0.25">
      <c r="B40" s="6"/>
      <c r="C40" s="874" t="str">
        <f>CONCATENATE("Amount of  ",$E$1-1," Ad Valorem Tax")</f>
        <v>Amount of  2022 Ad Valorem Tax</v>
      </c>
      <c r="D40" s="885"/>
      <c r="E40" s="199">
        <f>SUM(E38:E39)</f>
        <v>0</v>
      </c>
      <c r="G40" s="901"/>
      <c r="H40" s="901"/>
      <c r="I40" s="901"/>
      <c r="J40" s="901"/>
    </row>
    <row r="41" spans="2:10" ht="16.5" thickTop="1" x14ac:dyDescent="0.2">
      <c r="B41" s="6"/>
      <c r="C41" s="906"/>
      <c r="D41" s="906"/>
      <c r="E41" s="6"/>
    </row>
    <row r="42" spans="2:10" x14ac:dyDescent="0.2">
      <c r="B42" s="6"/>
      <c r="C42" s="6"/>
      <c r="D42" s="6"/>
      <c r="E42" s="6"/>
    </row>
    <row r="43" spans="2:10" x14ac:dyDescent="0.2">
      <c r="B43" s="9"/>
      <c r="C43" s="197"/>
      <c r="D43" s="197"/>
      <c r="E43" s="197"/>
    </row>
    <row r="44" spans="2:10" x14ac:dyDescent="0.2">
      <c r="B44" s="9" t="s">
        <v>20</v>
      </c>
      <c r="C44" s="539" t="str">
        <f t="shared" ref="C44:E45" si="0">C4</f>
        <v xml:space="preserve">Prior Year </v>
      </c>
      <c r="D44" s="540" t="str">
        <f t="shared" si="0"/>
        <v xml:space="preserve">Current Year </v>
      </c>
      <c r="E44" s="89" t="str">
        <f t="shared" si="0"/>
        <v xml:space="preserve">Proposed Budget </v>
      </c>
    </row>
    <row r="45" spans="2:10" x14ac:dyDescent="0.2">
      <c r="B45" s="297">
        <f>(inputPrYr!B24)</f>
        <v>0</v>
      </c>
      <c r="C45" s="283" t="str">
        <f t="shared" si="0"/>
        <v>Actual for 2021</v>
      </c>
      <c r="D45" s="283" t="str">
        <f t="shared" si="0"/>
        <v>Estimate for 2022</v>
      </c>
      <c r="E45" s="124" t="str">
        <f t="shared" si="0"/>
        <v>Year for 2023</v>
      </c>
    </row>
    <row r="46" spans="2:10" x14ac:dyDescent="0.2">
      <c r="B46" s="167" t="s">
        <v>99</v>
      </c>
      <c r="C46" s="168"/>
      <c r="D46" s="282">
        <f>C76</f>
        <v>0</v>
      </c>
      <c r="E46" s="139">
        <f>D76</f>
        <v>0</v>
      </c>
    </row>
    <row r="47" spans="2:10" x14ac:dyDescent="0.2">
      <c r="B47" s="167" t="s">
        <v>101</v>
      </c>
      <c r="C47" s="103"/>
      <c r="D47" s="103"/>
      <c r="E47" s="41"/>
    </row>
    <row r="48" spans="2:10" x14ac:dyDescent="0.2">
      <c r="B48" s="95" t="s">
        <v>21</v>
      </c>
      <c r="C48" s="168"/>
      <c r="D48" s="282">
        <f>IF(inputPrYr!H21&gt;0,inputPrYr!G27,inputPrYr!E24)</f>
        <v>0</v>
      </c>
      <c r="E48" s="193" t="s">
        <v>10</v>
      </c>
    </row>
    <row r="49" spans="2:11" x14ac:dyDescent="0.2">
      <c r="B49" s="95" t="s">
        <v>22</v>
      </c>
      <c r="C49" s="168"/>
      <c r="D49" s="168"/>
      <c r="E49" s="26"/>
    </row>
    <row r="50" spans="2:11" x14ac:dyDescent="0.2">
      <c r="B50" s="95" t="s">
        <v>23</v>
      </c>
      <c r="C50" s="168"/>
      <c r="D50" s="168"/>
      <c r="E50" s="139" t="str">
        <f>Mvalloc!D11</f>
        <v xml:space="preserve">  </v>
      </c>
    </row>
    <row r="51" spans="2:11" x14ac:dyDescent="0.2">
      <c r="B51" s="95" t="s">
        <v>24</v>
      </c>
      <c r="C51" s="168"/>
      <c r="D51" s="168"/>
      <c r="E51" s="139" t="str">
        <f>Mvalloc!E11</f>
        <v xml:space="preserve"> </v>
      </c>
    </row>
    <row r="52" spans="2:11" x14ac:dyDescent="0.2">
      <c r="B52" s="103" t="s">
        <v>91</v>
      </c>
      <c r="C52" s="168"/>
      <c r="D52" s="168"/>
      <c r="E52" s="139" t="str">
        <f>Mvalloc!F11</f>
        <v xml:space="preserve"> </v>
      </c>
    </row>
    <row r="53" spans="2:11" x14ac:dyDescent="0.2">
      <c r="B53" s="646" t="s">
        <v>819</v>
      </c>
      <c r="C53" s="168"/>
      <c r="D53" s="168"/>
      <c r="E53" s="139" t="str">
        <f>Mvalloc!G11</f>
        <v xml:space="preserve"> </v>
      </c>
      <c r="G53" s="902" t="str">
        <f>CONCATENATE("Desired Carryover Into ",E1+1,"")</f>
        <v>Desired Carryover Into 2024</v>
      </c>
      <c r="H53" s="886"/>
      <c r="I53" s="886"/>
      <c r="J53" s="887"/>
    </row>
    <row r="54" spans="2:11" x14ac:dyDescent="0.2">
      <c r="B54" s="646" t="s">
        <v>820</v>
      </c>
      <c r="C54" s="168"/>
      <c r="D54" s="168"/>
      <c r="E54" s="139" t="str">
        <f>Mvalloc!H11</f>
        <v xml:space="preserve"> </v>
      </c>
      <c r="G54" s="561"/>
      <c r="H54" s="548"/>
      <c r="I54" s="555"/>
      <c r="J54" s="562"/>
    </row>
    <row r="55" spans="2:11" x14ac:dyDescent="0.2">
      <c r="B55" s="26"/>
      <c r="C55" s="168"/>
      <c r="D55" s="168"/>
      <c r="E55" s="26"/>
      <c r="G55" s="560" t="s">
        <v>522</v>
      </c>
      <c r="H55" s="555"/>
      <c r="I55" s="555"/>
      <c r="J55" s="549">
        <v>0</v>
      </c>
    </row>
    <row r="56" spans="2:11" x14ac:dyDescent="0.2">
      <c r="B56" s="180"/>
      <c r="C56" s="168"/>
      <c r="D56" s="168"/>
      <c r="E56" s="26"/>
      <c r="G56" s="561" t="s">
        <v>523</v>
      </c>
      <c r="H56" s="548"/>
      <c r="I56" s="548"/>
      <c r="J56" s="575" t="str">
        <f>IF(J55=0,"",ROUND((J55+E82-G68)/inputOth!E7*1000,3)-G73)</f>
        <v/>
      </c>
    </row>
    <row r="57" spans="2:11" x14ac:dyDescent="0.2">
      <c r="B57" s="180"/>
      <c r="C57" s="168"/>
      <c r="D57" s="168"/>
      <c r="E57" s="26"/>
      <c r="G57" s="573" t="str">
        <f>CONCATENATE("",E1," Tot Exp/Non-Appr Must Be:")</f>
        <v>2023 Tot Exp/Non-Appr Must Be:</v>
      </c>
      <c r="H57" s="571"/>
      <c r="I57" s="572"/>
      <c r="J57" s="570">
        <f>IF(J55&gt;0,IF(E79&lt;E64,IF(J55=G68,E79,((J55-G68)*(1-D81))+E64),E79+(J55-G68)),0)</f>
        <v>0</v>
      </c>
    </row>
    <row r="58" spans="2:11" x14ac:dyDescent="0.2">
      <c r="B58" s="180"/>
      <c r="C58" s="168"/>
      <c r="D58" s="168"/>
      <c r="E58" s="26"/>
      <c r="G58" s="495" t="s">
        <v>670</v>
      </c>
      <c r="H58" s="578"/>
      <c r="I58" s="578"/>
      <c r="J58" s="574">
        <f>IF(J55&gt;0,J57-E79,0)</f>
        <v>0</v>
      </c>
    </row>
    <row r="59" spans="2:11" x14ac:dyDescent="0.25">
      <c r="B59" s="175" t="s">
        <v>26</v>
      </c>
      <c r="C59" s="168"/>
      <c r="D59" s="168"/>
      <c r="E59" s="26"/>
      <c r="J59" s="543"/>
    </row>
    <row r="60" spans="2:11" x14ac:dyDescent="0.2">
      <c r="B60" s="181" t="s">
        <v>193</v>
      </c>
      <c r="C60" s="168"/>
      <c r="D60" s="168"/>
      <c r="E60" s="673">
        <f>'NR Rebate'!E10*-1</f>
        <v>0</v>
      </c>
      <c r="G60" s="902" t="str">
        <f>CONCATENATE("Projected Carryover Into ",E1+1,"")</f>
        <v>Projected Carryover Into 2024</v>
      </c>
      <c r="H60" s="912"/>
      <c r="I60" s="912"/>
      <c r="J60" s="913"/>
    </row>
    <row r="61" spans="2:11" x14ac:dyDescent="0.2">
      <c r="B61" s="103" t="s">
        <v>192</v>
      </c>
      <c r="C61" s="168"/>
      <c r="D61" s="168"/>
      <c r="E61" s="26"/>
      <c r="G61" s="550"/>
      <c r="H61" s="548"/>
      <c r="I61" s="548"/>
      <c r="J61" s="546"/>
    </row>
    <row r="62" spans="2:11" x14ac:dyDescent="0.2">
      <c r="B62" s="167" t="s">
        <v>654</v>
      </c>
      <c r="C62" s="280" t="str">
        <f>IF(C63*0.1&lt;C61,"Exceed 10% Rule","")</f>
        <v/>
      </c>
      <c r="D62" s="280" t="str">
        <f>IF(D63*0.1&lt;D61,"Exceed 10% Rule","")</f>
        <v/>
      </c>
      <c r="E62" s="287" t="str">
        <f>IF(E63*0.1+E82&lt;E61,"Exceed 10% Rule","")</f>
        <v/>
      </c>
      <c r="G62" s="552">
        <f>D76</f>
        <v>0</v>
      </c>
      <c r="H62" s="553" t="str">
        <f>CONCATENATE("",E1-1," Ending Cash Balance (est.)")</f>
        <v>2022 Ending Cash Balance (est.)</v>
      </c>
      <c r="I62" s="554"/>
      <c r="J62" s="546"/>
    </row>
    <row r="63" spans="2:11" x14ac:dyDescent="0.2">
      <c r="B63" s="177" t="s">
        <v>27</v>
      </c>
      <c r="C63" s="285">
        <f>SUM(C48:C61)</f>
        <v>0</v>
      </c>
      <c r="D63" s="285">
        <f>SUM(D48:D61)</f>
        <v>0</v>
      </c>
      <c r="E63" s="198">
        <f>SUM(E48:E61)</f>
        <v>0</v>
      </c>
      <c r="G63" s="552">
        <f>E63</f>
        <v>0</v>
      </c>
      <c r="H63" s="555" t="str">
        <f>CONCATENATE("",E1," Non-AV Receipts (est.)")</f>
        <v>2023 Non-AV Receipts (est.)</v>
      </c>
      <c r="I63" s="554"/>
      <c r="J63" s="546"/>
    </row>
    <row r="64" spans="2:11" x14ac:dyDescent="0.2">
      <c r="B64" s="177" t="s">
        <v>28</v>
      </c>
      <c r="C64" s="285">
        <f>C46+C63</f>
        <v>0</v>
      </c>
      <c r="D64" s="285">
        <f>D46+D63</f>
        <v>0</v>
      </c>
      <c r="E64" s="198">
        <f>E46+E63</f>
        <v>0</v>
      </c>
      <c r="G64" s="556">
        <f>IF(D81&gt;0,E80,E82)</f>
        <v>0</v>
      </c>
      <c r="H64" s="555" t="str">
        <f>CONCATENATE("",E1," Ad Valorem Tax (est.)")</f>
        <v>2023 Ad Valorem Tax (est.)</v>
      </c>
      <c r="I64" s="554"/>
      <c r="J64" s="546"/>
      <c r="K64" s="498" t="str">
        <f>IF(G64=E82,"","Note: Does not include Delinquent Taxes")</f>
        <v/>
      </c>
    </row>
    <row r="65" spans="2:10" x14ac:dyDescent="0.2">
      <c r="B65" s="95" t="s">
        <v>30</v>
      </c>
      <c r="C65" s="181"/>
      <c r="D65" s="181"/>
      <c r="E65" s="24"/>
      <c r="G65" s="563">
        <f>SUM(G62:G64)</f>
        <v>0</v>
      </c>
      <c r="H65" s="555" t="str">
        <f>CONCATENATE("Total ",E1," Resources Available")</f>
        <v>Total 2023 Resources Available</v>
      </c>
      <c r="I65" s="551"/>
      <c r="J65" s="546"/>
    </row>
    <row r="66" spans="2:10" x14ac:dyDescent="0.2">
      <c r="B66" s="180"/>
      <c r="C66" s="168"/>
      <c r="D66" s="168"/>
      <c r="E66" s="26"/>
      <c r="G66" s="566"/>
      <c r="H66" s="564"/>
      <c r="I66" s="548"/>
      <c r="J66" s="546"/>
    </row>
    <row r="67" spans="2:10" x14ac:dyDescent="0.2">
      <c r="B67" s="180"/>
      <c r="C67" s="168"/>
      <c r="D67" s="168"/>
      <c r="E67" s="26"/>
      <c r="G67" s="565">
        <f>ROUND(C75*0.05+C75,0)</f>
        <v>0</v>
      </c>
      <c r="H67" s="564" t="str">
        <f>CONCATENATE("Less ",E1-2," Expenditures + 5%")</f>
        <v>Less 2021 Expenditures + 5%</v>
      </c>
      <c r="I67" s="551"/>
      <c r="J67" s="546"/>
    </row>
    <row r="68" spans="2:10" x14ac:dyDescent="0.25">
      <c r="B68" s="180"/>
      <c r="C68" s="168"/>
      <c r="D68" s="168"/>
      <c r="E68" s="26"/>
      <c r="G68" s="567">
        <f>G65-G67</f>
        <v>0</v>
      </c>
      <c r="H68" s="568" t="str">
        <f>CONCATENATE("Projected ",E1+1," carryover (est.)")</f>
        <v>Projected 2024 carryover (est.)</v>
      </c>
      <c r="I68" s="559"/>
      <c r="J68" s="581"/>
    </row>
    <row r="69" spans="2:10" x14ac:dyDescent="0.25">
      <c r="B69" s="180"/>
      <c r="C69" s="168"/>
      <c r="D69" s="168"/>
      <c r="E69" s="26"/>
      <c r="G69" s="543"/>
      <c r="H69" s="543"/>
      <c r="I69" s="543"/>
    </row>
    <row r="70" spans="2:10" ht="15.75" customHeight="1" x14ac:dyDescent="0.2">
      <c r="B70" s="180"/>
      <c r="C70" s="168"/>
      <c r="D70" s="168"/>
      <c r="E70" s="26"/>
      <c r="G70" s="888" t="s">
        <v>969</v>
      </c>
      <c r="H70" s="889"/>
      <c r="I70" s="889"/>
      <c r="J70" s="890"/>
    </row>
    <row r="71" spans="2:10" x14ac:dyDescent="0.2">
      <c r="B71" s="180"/>
      <c r="C71" s="168"/>
      <c r="D71" s="168"/>
      <c r="E71" s="26"/>
      <c r="G71" s="891"/>
      <c r="H71" s="892"/>
      <c r="I71" s="892"/>
      <c r="J71" s="893"/>
    </row>
    <row r="72" spans="2:10" x14ac:dyDescent="0.2">
      <c r="B72" s="181" t="str">
        <f>CONCATENATE("Cash Forward (",E1," column)")</f>
        <v>Cash Forward (2023 column)</v>
      </c>
      <c r="C72" s="168"/>
      <c r="D72" s="168"/>
      <c r="E72" s="26"/>
      <c r="G72" s="757" t="str">
        <f>'Budget Hearing Notice'!H20</f>
        <v xml:space="preserve">  </v>
      </c>
      <c r="H72" s="758" t="str">
        <f>CONCATENATE("",E1," Estimated Fund Mill Rate")</f>
        <v>2023 Estimated Fund Mill Rate</v>
      </c>
      <c r="I72" s="759"/>
      <c r="J72" s="760"/>
    </row>
    <row r="73" spans="2:10" x14ac:dyDescent="0.2">
      <c r="B73" s="181" t="s">
        <v>192</v>
      </c>
      <c r="C73" s="168"/>
      <c r="D73" s="168"/>
      <c r="E73" s="26"/>
      <c r="G73" s="761" t="str">
        <f>'Budget Hearing Notice'!E20</f>
        <v xml:space="preserve">  </v>
      </c>
      <c r="H73" s="758" t="str">
        <f>CONCATENATE("",E1-1," Fund Mill Rate")</f>
        <v>2022 Fund Mill Rate</v>
      </c>
      <c r="I73" s="759"/>
      <c r="J73" s="760"/>
    </row>
    <row r="74" spans="2:10" x14ac:dyDescent="0.2">
      <c r="B74" s="181" t="s">
        <v>655</v>
      </c>
      <c r="C74" s="280" t="str">
        <f>IF(C75*0.1&lt;C73,"Exceed 10% Rule","")</f>
        <v/>
      </c>
      <c r="D74" s="280" t="str">
        <f>IF(D75*0.1&lt;D73,"Exceed 10% Rule","")</f>
        <v/>
      </c>
      <c r="E74" s="287" t="str">
        <f>IF(E75*0.1&lt;E73,"Exceed 10% Rule","")</f>
        <v/>
      </c>
      <c r="G74" s="762">
        <f>inputOth!D20</f>
        <v>34.689</v>
      </c>
      <c r="H74" s="763" t="s">
        <v>970</v>
      </c>
      <c r="I74" s="759"/>
      <c r="J74" s="760"/>
    </row>
    <row r="75" spans="2:10" x14ac:dyDescent="0.2">
      <c r="B75" s="177" t="s">
        <v>34</v>
      </c>
      <c r="C75" s="285">
        <f>SUM(C66:C73)</f>
        <v>0</v>
      </c>
      <c r="D75" s="285">
        <f>SUM(D66:D73)</f>
        <v>0</v>
      </c>
      <c r="E75" s="198">
        <f>SUM(E66:E73)</f>
        <v>0</v>
      </c>
      <c r="G75" s="757">
        <f>'Budget Hearing Notice'!H43</f>
        <v>29.513999999999999</v>
      </c>
      <c r="H75" s="758" t="str">
        <f>CONCATENATE(E1," Estimated Total Mill Rate")</f>
        <v>2023 Estimated Total Mill Rate</v>
      </c>
      <c r="I75" s="759"/>
      <c r="J75" s="760"/>
    </row>
    <row r="76" spans="2:10" x14ac:dyDescent="0.2">
      <c r="B76" s="95" t="s">
        <v>100</v>
      </c>
      <c r="C76" s="282">
        <f>C64-C75</f>
        <v>0</v>
      </c>
      <c r="D76" s="282">
        <f>D64-D75</f>
        <v>0</v>
      </c>
      <c r="E76" s="193" t="s">
        <v>10</v>
      </c>
      <c r="G76" s="764">
        <f>'Budget Hearing Notice'!E43</f>
        <v>38.04</v>
      </c>
      <c r="H76" s="758" t="str">
        <f>CONCATENATE(E1-1," Total Mill Rate")</f>
        <v>2022 Total Mill Rate</v>
      </c>
      <c r="I76" s="759"/>
      <c r="J76" s="760"/>
    </row>
    <row r="77" spans="2:10" x14ac:dyDescent="0.2">
      <c r="B77" s="110" t="str">
        <f>CONCATENATE("",E1-2,"/",E1-1,"/",E1," Budget Authority Amount:")</f>
        <v>2021/2022/2023 Budget Authority Amount:</v>
      </c>
      <c r="C77" s="428">
        <f>inputOth!B70</f>
        <v>0</v>
      </c>
      <c r="D77" s="591">
        <f>inputPrYr!D24</f>
        <v>0</v>
      </c>
      <c r="E77" s="139">
        <f>E75</f>
        <v>0</v>
      </c>
      <c r="G77" s="765"/>
      <c r="H77" s="766"/>
      <c r="I77" s="766"/>
      <c r="J77" s="767"/>
    </row>
    <row r="78" spans="2:10" ht="15.75" customHeight="1" x14ac:dyDescent="0.2">
      <c r="B78" s="83"/>
      <c r="C78" s="881" t="s">
        <v>514</v>
      </c>
      <c r="D78" s="882"/>
      <c r="E78" s="26"/>
      <c r="G78" s="894" t="s">
        <v>971</v>
      </c>
      <c r="H78" s="895"/>
      <c r="I78" s="895"/>
      <c r="J78" s="898" t="str">
        <f>IF(G75&gt;G74, "Yes", "No")</f>
        <v>No</v>
      </c>
    </row>
    <row r="79" spans="2:10" ht="15.75" customHeight="1" x14ac:dyDescent="0.2">
      <c r="B79" s="301" t="str">
        <f>CONCATENATE(C101,"     ",D101)</f>
        <v xml:space="preserve">     </v>
      </c>
      <c r="C79" s="883" t="s">
        <v>515</v>
      </c>
      <c r="D79" s="884"/>
      <c r="E79" s="139">
        <f>E75+E78</f>
        <v>0</v>
      </c>
      <c r="F79" s="183"/>
      <c r="G79" s="896"/>
      <c r="H79" s="897"/>
      <c r="I79" s="897"/>
      <c r="J79" s="899"/>
    </row>
    <row r="80" spans="2:10" x14ac:dyDescent="0.2">
      <c r="B80" s="301" t="str">
        <f>CONCATENATE(C102,"     ",D102)</f>
        <v xml:space="preserve">     </v>
      </c>
      <c r="C80" s="184"/>
      <c r="D80" s="108" t="s">
        <v>35</v>
      </c>
      <c r="E80" s="139">
        <f>IF(E79-E64&gt;0,E79-E64,0)</f>
        <v>0</v>
      </c>
      <c r="F80" s="586" t="str">
        <f>IF(E75/0.95-E75&lt;E78,"Exceeds 5%","")</f>
        <v/>
      </c>
      <c r="G80" s="900" t="str">
        <f>IF(J78="Yes", "Follow procedure prescribed by KSA 79-2988 to exceed the Revenue Neutral Rate.", " ")</f>
        <v xml:space="preserve"> </v>
      </c>
      <c r="H80" s="900"/>
      <c r="I80" s="900"/>
      <c r="J80" s="900"/>
    </row>
    <row r="81" spans="2:10" x14ac:dyDescent="0.2">
      <c r="B81" s="83"/>
      <c r="C81" s="289" t="s">
        <v>516</v>
      </c>
      <c r="D81" s="497">
        <f>inputOth!E52</f>
        <v>0.03</v>
      </c>
      <c r="E81" s="139">
        <f>ROUND(IF(D81&gt;0,(E80*D81),0),0)</f>
        <v>0</v>
      </c>
      <c r="G81" s="901"/>
      <c r="H81" s="901"/>
      <c r="I81" s="901"/>
      <c r="J81" s="901"/>
    </row>
    <row r="82" spans="2:10" ht="16.5" thickBot="1" x14ac:dyDescent="0.25">
      <c r="B82" s="108"/>
      <c r="C82" s="874" t="str">
        <f>CONCATENATE("Amount of  ",$E$1-1," Ad Valorem Tax")</f>
        <v>Amount of  2022 Ad Valorem Tax</v>
      </c>
      <c r="D82" s="885"/>
      <c r="E82" s="199">
        <f>E80+E81</f>
        <v>0</v>
      </c>
      <c r="G82" s="901"/>
      <c r="H82" s="901"/>
      <c r="I82" s="901"/>
      <c r="J82" s="901"/>
    </row>
    <row r="83" spans="2:10" ht="16.5" thickTop="1" x14ac:dyDescent="0.2">
      <c r="B83" s="108"/>
      <c r="C83" s="906"/>
      <c r="D83" s="906"/>
      <c r="E83" s="108"/>
    </row>
    <row r="84" spans="2:10" x14ac:dyDescent="0.2">
      <c r="B84" s="726" t="s">
        <v>839</v>
      </c>
      <c r="C84" s="693"/>
      <c r="D84" s="693"/>
      <c r="E84" s="696"/>
    </row>
    <row r="85" spans="2:10" x14ac:dyDescent="0.2">
      <c r="B85" s="697"/>
      <c r="C85" s="290"/>
      <c r="D85" s="290"/>
      <c r="E85" s="649"/>
    </row>
    <row r="86" spans="2:10" x14ac:dyDescent="0.2">
      <c r="B86" s="698"/>
      <c r="C86" s="691"/>
      <c r="D86" s="699"/>
      <c r="E86" s="700"/>
    </row>
    <row r="87" spans="2:10" x14ac:dyDescent="0.2">
      <c r="B87" s="83" t="s">
        <v>37</v>
      </c>
      <c r="C87" s="600">
        <v>8</v>
      </c>
      <c r="D87" s="6"/>
      <c r="E87" s="6"/>
    </row>
    <row r="88" spans="2:10" x14ac:dyDescent="0.2">
      <c r="B88" s="288"/>
    </row>
    <row r="89" spans="2:10" x14ac:dyDescent="0.2">
      <c r="B89" s="2"/>
    </row>
    <row r="99" spans="3:4" hidden="1" x14ac:dyDescent="0.2">
      <c r="C99" s="302" t="str">
        <f>IF(C33&gt;C35,"See Tab A","")</f>
        <v/>
      </c>
      <c r="D99" s="302" t="str">
        <f>IF(D33&gt;D35,"See Tab C","")</f>
        <v/>
      </c>
    </row>
    <row r="100" spans="3:4" hidden="1" x14ac:dyDescent="0.2">
      <c r="C100" s="302" t="str">
        <f>IF(C34&lt;0,"See Tab B","")</f>
        <v/>
      </c>
      <c r="D100" s="302" t="str">
        <f>IF(D34&lt;0,"See Tab D","")</f>
        <v/>
      </c>
    </row>
    <row r="101" spans="3:4" hidden="1" x14ac:dyDescent="0.2">
      <c r="C101" s="302" t="str">
        <f>IF(C75&gt;C77,"See Tab A","")</f>
        <v/>
      </c>
      <c r="D101" s="302" t="str">
        <f>IF(D75&gt;D77,"See Tab C","")</f>
        <v/>
      </c>
    </row>
    <row r="102" spans="3:4" hidden="1" x14ac:dyDescent="0.2">
      <c r="C102" s="302" t="str">
        <f>IF(C76&lt;0,"See Tab B","")</f>
        <v/>
      </c>
      <c r="D102" s="302" t="str">
        <f>IF(D76&lt;0,"See Tab D","")</f>
        <v/>
      </c>
    </row>
  </sheetData>
  <sheetProtection sheet="1" objects="1" scenarios="1"/>
  <mergeCells count="20">
    <mergeCell ref="G18:J18"/>
    <mergeCell ref="G11:J11"/>
    <mergeCell ref="G53:J53"/>
    <mergeCell ref="G60:J60"/>
    <mergeCell ref="G36:I37"/>
    <mergeCell ref="J36:J37"/>
    <mergeCell ref="G38:J40"/>
    <mergeCell ref="G28:J29"/>
    <mergeCell ref="G70:J71"/>
    <mergeCell ref="G78:I79"/>
    <mergeCell ref="J78:J79"/>
    <mergeCell ref="G80:J82"/>
    <mergeCell ref="C83:D83"/>
    <mergeCell ref="C82:D82"/>
    <mergeCell ref="C41:D41"/>
    <mergeCell ref="C78:D78"/>
    <mergeCell ref="C79:D79"/>
    <mergeCell ref="C36:D36"/>
    <mergeCell ref="C37:D37"/>
    <mergeCell ref="C40:D40"/>
  </mergeCells>
  <phoneticPr fontId="0" type="noConversion"/>
  <conditionalFormatting sqref="E73">
    <cfRule type="cellIs" dxfId="240" priority="6" stopIfTrue="1" operator="greaterThan">
      <formula>$E$75*0.1</formula>
    </cfRule>
  </conditionalFormatting>
  <conditionalFormatting sqref="E78">
    <cfRule type="cellIs" dxfId="239" priority="7" stopIfTrue="1" operator="greaterThan">
      <formula>$E$75/0.95-$E$75</formula>
    </cfRule>
  </conditionalFormatting>
  <conditionalFormatting sqref="E31">
    <cfRule type="cellIs" dxfId="238" priority="8" stopIfTrue="1" operator="greaterThan">
      <formula>$E$33*0.1</formula>
    </cfRule>
  </conditionalFormatting>
  <conditionalFormatting sqref="D33">
    <cfRule type="cellIs" dxfId="237" priority="10" stopIfTrue="1" operator="greaterThan">
      <formula>$D$35</formula>
    </cfRule>
  </conditionalFormatting>
  <conditionalFormatting sqref="C33">
    <cfRule type="cellIs" dxfId="236" priority="11" stopIfTrue="1" operator="greaterThan">
      <formula>$C$35</formula>
    </cfRule>
  </conditionalFormatting>
  <conditionalFormatting sqref="C34 C76">
    <cfRule type="cellIs" dxfId="235" priority="12" stopIfTrue="1" operator="lessThan">
      <formula>0</formula>
    </cfRule>
  </conditionalFormatting>
  <conditionalFormatting sqref="D75">
    <cfRule type="cellIs" dxfId="234" priority="13" stopIfTrue="1" operator="greaterThan">
      <formula>$D$77</formula>
    </cfRule>
  </conditionalFormatting>
  <conditionalFormatting sqref="C75">
    <cfRule type="cellIs" dxfId="233" priority="14" stopIfTrue="1" operator="greaterThan">
      <formula>$C$77</formula>
    </cfRule>
  </conditionalFormatting>
  <conditionalFormatting sqref="C31">
    <cfRule type="cellIs" dxfId="232" priority="15" stopIfTrue="1" operator="greaterThan">
      <formula>$C$33*0.1</formula>
    </cfRule>
  </conditionalFormatting>
  <conditionalFormatting sqref="D31">
    <cfRule type="cellIs" dxfId="231" priority="16" stopIfTrue="1" operator="greaterThan">
      <formula>$D$33*0.1</formula>
    </cfRule>
  </conditionalFormatting>
  <conditionalFormatting sqref="C73">
    <cfRule type="cellIs" dxfId="230" priority="17" stopIfTrue="1" operator="greaterThan">
      <formula>$C$75*0.1</formula>
    </cfRule>
  </conditionalFormatting>
  <conditionalFormatting sqref="D73">
    <cfRule type="cellIs" dxfId="229" priority="18" stopIfTrue="1" operator="greaterThan">
      <formula>$D$75*0.1</formula>
    </cfRule>
  </conditionalFormatting>
  <conditionalFormatting sqref="D19">
    <cfRule type="cellIs" dxfId="228" priority="19" stopIfTrue="1" operator="greaterThan">
      <formula>$D$21*0.1</formula>
    </cfRule>
  </conditionalFormatting>
  <conditionalFormatting sqref="C19">
    <cfRule type="cellIs" dxfId="227" priority="20" stopIfTrue="1" operator="greaterThan">
      <formula>$C$21*0.1</formula>
    </cfRule>
  </conditionalFormatting>
  <conditionalFormatting sqref="D61">
    <cfRule type="cellIs" dxfId="226" priority="21" stopIfTrue="1" operator="greaterThan">
      <formula>$D$63*0.1</formula>
    </cfRule>
  </conditionalFormatting>
  <conditionalFormatting sqref="C61">
    <cfRule type="cellIs" dxfId="225" priority="22" stopIfTrue="1" operator="greaterThan">
      <formula>$C$63*0.1</formula>
    </cfRule>
  </conditionalFormatting>
  <conditionalFormatting sqref="E61">
    <cfRule type="cellIs" dxfId="224" priority="23" stopIfTrue="1" operator="greaterThan">
      <formula>$E$63*0.1+E82</formula>
    </cfRule>
  </conditionalFormatting>
  <conditionalFormatting sqref="E19">
    <cfRule type="cellIs" dxfId="223" priority="24" stopIfTrue="1" operator="greaterThan">
      <formula>$E$21*0.1+E40</formula>
    </cfRule>
  </conditionalFormatting>
  <conditionalFormatting sqref="D76 D34">
    <cfRule type="cellIs" dxfId="222" priority="5" stopIfTrue="1" operator="lessThan">
      <formula>0</formula>
    </cfRule>
  </conditionalFormatting>
  <conditionalFormatting sqref="E36">
    <cfRule type="cellIs" dxfId="221" priority="3" stopIfTrue="1" operator="greaterThan">
      <formula>$E$33/0.95-$E$33</formula>
    </cfRule>
  </conditionalFormatting>
  <conditionalFormatting sqref="J36">
    <cfRule type="containsText" dxfId="220" priority="2" operator="containsText" text="Yes">
      <formula>NOT(ISERROR(SEARCH("Yes",J36)))</formula>
    </cfRule>
  </conditionalFormatting>
  <conditionalFormatting sqref="J78">
    <cfRule type="containsText" dxfId="219" priority="1" operator="containsText" text="Yes">
      <formula>NOT(ISERROR(SEARCH("Yes",J78)))</formula>
    </cfRule>
  </conditionalFormatting>
  <pageMargins left="0.5" right="0.5" top="1" bottom="0.5" header="0.5" footer="0.5"/>
  <pageSetup scale="53" orientation="portrait" blackAndWhite="1" horizontalDpi="120" verticalDpi="144" r:id="rId1"/>
  <headerFooter alignWithMargins="0">
    <oddHeader xml:space="preserve">&amp;RState of Kansas
City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00B0F0"/>
    <pageSetUpPr fitToPage="1"/>
  </sheetPr>
  <dimension ref="B1:K100"/>
  <sheetViews>
    <sheetView topLeftCell="A67" zoomScaleNormal="100" workbookViewId="0">
      <selection activeCell="C87" sqref="C87"/>
    </sheetView>
  </sheetViews>
  <sheetFormatPr defaultRowHeight="15.75" x14ac:dyDescent="0.2"/>
  <cols>
    <col min="1" max="1" width="2.44140625" style="7" customWidth="1"/>
    <col min="2" max="2" width="31.109375" style="7" customWidth="1"/>
    <col min="3" max="4" width="15.77734375" style="7" customWidth="1"/>
    <col min="5" max="5" width="16.109375" style="7" customWidth="1"/>
    <col min="6" max="6" width="8.88671875" style="7"/>
    <col min="7" max="7" width="10.21875" style="7" customWidth="1"/>
    <col min="8" max="8" width="8.88671875" style="7"/>
    <col min="9" max="9" width="5.5546875" style="7" customWidth="1"/>
    <col min="10" max="10" width="10" style="7" customWidth="1"/>
    <col min="11" max="16384" width="8.88671875" style="7"/>
  </cols>
  <sheetData>
    <row r="1" spans="2:10" x14ac:dyDescent="0.2">
      <c r="B1" s="112" t="str">
        <f>(inputPrYr!D3)</f>
        <v>Valley Falls</v>
      </c>
      <c r="C1" s="6"/>
      <c r="D1" s="6"/>
      <c r="E1" s="158">
        <f>inputPrYr!C6</f>
        <v>2023</v>
      </c>
    </row>
    <row r="2" spans="2:10" x14ac:dyDescent="0.2">
      <c r="B2" s="6"/>
      <c r="C2" s="6"/>
      <c r="D2" s="6"/>
      <c r="E2" s="108"/>
    </row>
    <row r="3" spans="2:10" x14ac:dyDescent="0.2">
      <c r="B3" s="17" t="s">
        <v>84</v>
      </c>
      <c r="C3" s="117"/>
      <c r="D3" s="117"/>
      <c r="E3" s="196"/>
    </row>
    <row r="4" spans="2:10" x14ac:dyDescent="0.2">
      <c r="B4" s="9" t="s">
        <v>20</v>
      </c>
      <c r="C4" s="539" t="s">
        <v>665</v>
      </c>
      <c r="D4" s="540" t="s">
        <v>668</v>
      </c>
      <c r="E4" s="89" t="s">
        <v>669</v>
      </c>
    </row>
    <row r="5" spans="2:10" x14ac:dyDescent="0.2">
      <c r="B5" s="298">
        <f>inputPrYr!B25</f>
        <v>0</v>
      </c>
      <c r="C5" s="283" t="str">
        <f>CONCATENATE("Actual for ",E1-2,"")</f>
        <v>Actual for 2021</v>
      </c>
      <c r="D5" s="283" t="str">
        <f>CONCATENATE("Estimate for ",E1-1,"")</f>
        <v>Estimate for 2022</v>
      </c>
      <c r="E5" s="166" t="str">
        <f>CONCATENATE("Year for ",E1,"")</f>
        <v>Year for 2023</v>
      </c>
    </row>
    <row r="6" spans="2:10" x14ac:dyDescent="0.2">
      <c r="B6" s="167" t="s">
        <v>99</v>
      </c>
      <c r="C6" s="168"/>
      <c r="D6" s="282">
        <f>C33</f>
        <v>0</v>
      </c>
      <c r="E6" s="139">
        <f>D33</f>
        <v>0</v>
      </c>
    </row>
    <row r="7" spans="2:10" x14ac:dyDescent="0.2">
      <c r="B7" s="170" t="s">
        <v>101</v>
      </c>
      <c r="C7" s="282"/>
      <c r="D7" s="282"/>
      <c r="E7" s="139"/>
    </row>
    <row r="8" spans="2:10" x14ac:dyDescent="0.2">
      <c r="B8" s="95" t="s">
        <v>21</v>
      </c>
      <c r="C8" s="171"/>
      <c r="D8" s="282">
        <f>IF(inputPrYr!H21&gt;0,inputPrYr!G28,inputPrYr!E25)</f>
        <v>0</v>
      </c>
      <c r="E8" s="193" t="s">
        <v>10</v>
      </c>
    </row>
    <row r="9" spans="2:10" x14ac:dyDescent="0.2">
      <c r="B9" s="95" t="s">
        <v>22</v>
      </c>
      <c r="C9" s="171"/>
      <c r="D9" s="171"/>
      <c r="E9" s="26"/>
      <c r="G9" s="902" t="str">
        <f>CONCATENATE("Desired Carryover Into ",E1+1,"")</f>
        <v>Desired Carryover Into 2024</v>
      </c>
      <c r="H9" s="886"/>
      <c r="I9" s="886"/>
      <c r="J9" s="887"/>
    </row>
    <row r="10" spans="2:10" x14ac:dyDescent="0.2">
      <c r="B10" s="95" t="s">
        <v>23</v>
      </c>
      <c r="C10" s="171"/>
      <c r="D10" s="171"/>
      <c r="E10" s="139" t="str">
        <f>Mvalloc!D12</f>
        <v xml:space="preserve">  </v>
      </c>
      <c r="G10" s="561"/>
      <c r="H10" s="548"/>
      <c r="I10" s="555"/>
      <c r="J10" s="562"/>
    </row>
    <row r="11" spans="2:10" x14ac:dyDescent="0.2">
      <c r="B11" s="95" t="s">
        <v>24</v>
      </c>
      <c r="C11" s="171"/>
      <c r="D11" s="171"/>
      <c r="E11" s="139" t="str">
        <f>Mvalloc!E12</f>
        <v xml:space="preserve"> </v>
      </c>
      <c r="G11" s="560" t="s">
        <v>522</v>
      </c>
      <c r="H11" s="555"/>
      <c r="I11" s="555"/>
      <c r="J11" s="549">
        <v>0</v>
      </c>
    </row>
    <row r="12" spans="2:10" x14ac:dyDescent="0.2">
      <c r="B12" s="103" t="s">
        <v>91</v>
      </c>
      <c r="C12" s="171"/>
      <c r="D12" s="171"/>
      <c r="E12" s="139" t="str">
        <f>Mvalloc!F12</f>
        <v xml:space="preserve"> </v>
      </c>
      <c r="G12" s="561" t="s">
        <v>523</v>
      </c>
      <c r="H12" s="548"/>
      <c r="I12" s="548"/>
      <c r="J12" s="575" t="str">
        <f>IF(J11=0,"",ROUND((J11+E39-G24)/inputOth!E7*1000,3)-G29)</f>
        <v/>
      </c>
    </row>
    <row r="13" spans="2:10" x14ac:dyDescent="0.2">
      <c r="B13" s="646" t="s">
        <v>819</v>
      </c>
      <c r="C13" s="171"/>
      <c r="D13" s="171"/>
      <c r="E13" s="139" t="str">
        <f>Mvalloc!G12</f>
        <v xml:space="preserve"> </v>
      </c>
      <c r="G13" s="573" t="str">
        <f>CONCATENATE("",E1," Tot Exp/Non-Appr Must Be:")</f>
        <v>2023 Tot Exp/Non-Appr Must Be:</v>
      </c>
      <c r="H13" s="571"/>
      <c r="I13" s="572"/>
      <c r="J13" s="570">
        <f>IF(J11&gt;0,IF(E36&lt;E21,IF(J11=G24,E36,((J11-G24)*(1-D38))+E21),E36+(J11-G24)),0)</f>
        <v>0</v>
      </c>
    </row>
    <row r="14" spans="2:10" x14ac:dyDescent="0.2">
      <c r="B14" s="646" t="s">
        <v>820</v>
      </c>
      <c r="C14" s="171"/>
      <c r="D14" s="171"/>
      <c r="E14" s="139" t="str">
        <f>Mvalloc!H12</f>
        <v xml:space="preserve"> </v>
      </c>
      <c r="G14" s="495" t="s">
        <v>670</v>
      </c>
      <c r="H14" s="578"/>
      <c r="I14" s="578"/>
      <c r="J14" s="574">
        <f>IF(J11&gt;0,J13-E36,0)</f>
        <v>0</v>
      </c>
    </row>
    <row r="15" spans="2:10" x14ac:dyDescent="0.25">
      <c r="B15" s="26"/>
      <c r="C15" s="171"/>
      <c r="D15" s="171"/>
      <c r="E15" s="26"/>
      <c r="J15" s="543"/>
    </row>
    <row r="16" spans="2:10" x14ac:dyDescent="0.2">
      <c r="B16" s="175" t="s">
        <v>26</v>
      </c>
      <c r="C16" s="171"/>
      <c r="D16" s="171"/>
      <c r="E16" s="26"/>
      <c r="G16" s="902" t="str">
        <f>CONCATENATE("Projected Carryover Into ",E1+1,"")</f>
        <v>Projected Carryover Into 2024</v>
      </c>
      <c r="H16" s="909"/>
      <c r="I16" s="909"/>
      <c r="J16" s="913"/>
    </row>
    <row r="17" spans="2:11" x14ac:dyDescent="0.2">
      <c r="B17" s="181" t="s">
        <v>193</v>
      </c>
      <c r="C17" s="171"/>
      <c r="D17" s="171"/>
      <c r="E17" s="673">
        <f>'NR Rebate'!E11*-1</f>
        <v>0</v>
      </c>
      <c r="G17" s="561"/>
      <c r="H17" s="555"/>
      <c r="I17" s="555"/>
      <c r="J17" s="583"/>
    </row>
    <row r="18" spans="2:11" x14ac:dyDescent="0.2">
      <c r="B18" s="103" t="s">
        <v>192</v>
      </c>
      <c r="C18" s="171"/>
      <c r="D18" s="171"/>
      <c r="E18" s="26"/>
      <c r="G18" s="552">
        <f>D33</f>
        <v>0</v>
      </c>
      <c r="H18" s="553" t="str">
        <f>CONCATENATE("",E1-1," Ending Cash Balance (est.)")</f>
        <v>2022 Ending Cash Balance (est.)</v>
      </c>
      <c r="I18" s="554"/>
      <c r="J18" s="583"/>
    </row>
    <row r="19" spans="2:11" x14ac:dyDescent="0.2">
      <c r="B19" s="167" t="s">
        <v>654</v>
      </c>
      <c r="C19" s="284" t="str">
        <f>IF(C20*0.1&lt;C18,"Exceed 10% Rule","")</f>
        <v/>
      </c>
      <c r="D19" s="284" t="str">
        <f>IF(D20*0.1&lt;D18,"Exceed 10% Rule","")</f>
        <v/>
      </c>
      <c r="E19" s="299" t="str">
        <f>IF(E20*0.1+E39&lt;E18,"Exceed 10% Rule","")</f>
        <v/>
      </c>
      <c r="G19" s="552">
        <f>E20</f>
        <v>0</v>
      </c>
      <c r="H19" s="555" t="str">
        <f>CONCATENATE("",E1," Non-AV Receipts (est.)")</f>
        <v>2023 Non-AV Receipts (est.)</v>
      </c>
      <c r="I19" s="554"/>
      <c r="J19" s="583"/>
    </row>
    <row r="20" spans="2:11" x14ac:dyDescent="0.2">
      <c r="B20" s="177" t="s">
        <v>27</v>
      </c>
      <c r="C20" s="285">
        <f>SUM(C8:C18)</f>
        <v>0</v>
      </c>
      <c r="D20" s="285">
        <f>SUM(D8:D18)</f>
        <v>0</v>
      </c>
      <c r="E20" s="198">
        <f>SUM(E8:E18)</f>
        <v>0</v>
      </c>
      <c r="G20" s="556">
        <f>IF(E38&gt;0,E37,E39)</f>
        <v>0</v>
      </c>
      <c r="H20" s="555" t="str">
        <f>CONCATENATE("",E1," Ad Valorem Tax (est.)")</f>
        <v>2023 Ad Valorem Tax (est.)</v>
      </c>
      <c r="I20" s="554"/>
      <c r="J20" s="583"/>
      <c r="K20" s="7" t="str">
        <f>IF(G20=E39,"","Note: Does not include Delinquent Taxes")</f>
        <v/>
      </c>
    </row>
    <row r="21" spans="2:11" x14ac:dyDescent="0.2">
      <c r="B21" s="177" t="s">
        <v>28</v>
      </c>
      <c r="C21" s="285">
        <f>C6+C20</f>
        <v>0</v>
      </c>
      <c r="D21" s="285">
        <f>D6+D20</f>
        <v>0</v>
      </c>
      <c r="E21" s="198">
        <f>E6+E20</f>
        <v>0</v>
      </c>
      <c r="G21" s="552">
        <f>SUM(G18:G20)</f>
        <v>0</v>
      </c>
      <c r="H21" s="555" t="str">
        <f>CONCATENATE("Total ",E1," Resources Available")</f>
        <v>Total 2023 Resources Available</v>
      </c>
      <c r="I21" s="554"/>
      <c r="J21" s="583"/>
    </row>
    <row r="22" spans="2:11" x14ac:dyDescent="0.2">
      <c r="B22" s="95" t="s">
        <v>30</v>
      </c>
      <c r="C22" s="181"/>
      <c r="D22" s="181"/>
      <c r="E22" s="24"/>
      <c r="G22" s="557"/>
      <c r="H22" s="555"/>
      <c r="I22" s="555"/>
      <c r="J22" s="583"/>
    </row>
    <row r="23" spans="2:11" x14ac:dyDescent="0.2">
      <c r="B23" s="201"/>
      <c r="C23" s="171"/>
      <c r="D23" s="171"/>
      <c r="E23" s="25"/>
      <c r="G23" s="556">
        <f>ROUND(C32*0.05+C32,0)</f>
        <v>0</v>
      </c>
      <c r="H23" s="555" t="str">
        <f>CONCATENATE("Less ",E1-2," Expenditures + 5%")</f>
        <v>Less 2021 Expenditures + 5%</v>
      </c>
      <c r="I23" s="554"/>
      <c r="J23" s="583"/>
    </row>
    <row r="24" spans="2:11" x14ac:dyDescent="0.25">
      <c r="B24" s="180"/>
      <c r="C24" s="171"/>
      <c r="D24" s="171"/>
      <c r="E24" s="26"/>
      <c r="F24" s="200"/>
      <c r="G24" s="576">
        <f>G21-G23</f>
        <v>0</v>
      </c>
      <c r="H24" s="577" t="str">
        <f>CONCATENATE("Projected ",E1+1," carryover (est.)")</f>
        <v>Projected 2024 carryover (est.)</v>
      </c>
      <c r="I24" s="558"/>
      <c r="J24" s="581"/>
    </row>
    <row r="25" spans="2:11" x14ac:dyDescent="0.25">
      <c r="B25" s="180"/>
      <c r="C25" s="171"/>
      <c r="D25" s="171"/>
      <c r="E25" s="26"/>
      <c r="G25" s="543"/>
      <c r="H25" s="543"/>
      <c r="I25" s="543"/>
      <c r="J25" s="543"/>
    </row>
    <row r="26" spans="2:11" x14ac:dyDescent="0.2">
      <c r="B26" s="180"/>
      <c r="C26" s="171"/>
      <c r="D26" s="171"/>
      <c r="E26" s="26"/>
      <c r="G26" s="888" t="s">
        <v>969</v>
      </c>
      <c r="H26" s="889"/>
      <c r="I26" s="889"/>
      <c r="J26" s="890"/>
    </row>
    <row r="27" spans="2:11" x14ac:dyDescent="0.2">
      <c r="B27" s="180"/>
      <c r="C27" s="171"/>
      <c r="D27" s="171"/>
      <c r="E27" s="26"/>
      <c r="G27" s="891"/>
      <c r="H27" s="892"/>
      <c r="I27" s="892"/>
      <c r="J27" s="893"/>
    </row>
    <row r="28" spans="2:11" x14ac:dyDescent="0.2">
      <c r="B28" s="180"/>
      <c r="C28" s="171"/>
      <c r="D28" s="171"/>
      <c r="E28" s="26"/>
      <c r="G28" s="757" t="str">
        <f>'Budget Hearing Notice'!H21</f>
        <v xml:space="preserve">  </v>
      </c>
      <c r="H28" s="758" t="str">
        <f>CONCATENATE("",E1," Estimated Fund Mill Rate")</f>
        <v>2023 Estimated Fund Mill Rate</v>
      </c>
      <c r="I28" s="759"/>
      <c r="J28" s="760"/>
    </row>
    <row r="29" spans="2:11" x14ac:dyDescent="0.2">
      <c r="B29" s="181" t="str">
        <f>CONCATENATE("Cash Forward (",E1," column)")</f>
        <v>Cash Forward (2023 column)</v>
      </c>
      <c r="C29" s="171"/>
      <c r="D29" s="171"/>
      <c r="E29" s="26"/>
      <c r="G29" s="761" t="str">
        <f>'Budget Hearing Notice'!E21</f>
        <v xml:space="preserve">  </v>
      </c>
      <c r="H29" s="758" t="str">
        <f>CONCATENATE("",E1-1," Fund Mill Rate")</f>
        <v>2022 Fund Mill Rate</v>
      </c>
      <c r="I29" s="759"/>
      <c r="J29" s="760"/>
    </row>
    <row r="30" spans="2:11" x14ac:dyDescent="0.2">
      <c r="B30" s="181" t="s">
        <v>192</v>
      </c>
      <c r="C30" s="171"/>
      <c r="D30" s="171"/>
      <c r="E30" s="26"/>
      <c r="G30" s="762">
        <f>inputOth!D20</f>
        <v>34.689</v>
      </c>
      <c r="H30" s="763" t="s">
        <v>970</v>
      </c>
      <c r="I30" s="759"/>
      <c r="J30" s="760"/>
    </row>
    <row r="31" spans="2:11" x14ac:dyDescent="0.2">
      <c r="B31" s="181" t="s">
        <v>655</v>
      </c>
      <c r="C31" s="284" t="str">
        <f>IF(C32*0.1&lt;C30,"Exceed 10% Rule","")</f>
        <v/>
      </c>
      <c r="D31" s="284" t="str">
        <f>IF(D32*0.1&lt;D30,"Exceed 10% Rule","")</f>
        <v/>
      </c>
      <c r="E31" s="299" t="str">
        <f>IF(E32*0.1&lt;E30,"Exceed 10% Rule","")</f>
        <v/>
      </c>
      <c r="G31" s="757">
        <f>'Budget Hearing Notice'!H43</f>
        <v>29.513999999999999</v>
      </c>
      <c r="H31" s="758" t="str">
        <f>CONCATENATE(E1," Estimated Total Mill Rate")</f>
        <v>2023 Estimated Total Mill Rate</v>
      </c>
      <c r="I31" s="759"/>
      <c r="J31" s="760"/>
    </row>
    <row r="32" spans="2:11" x14ac:dyDescent="0.2">
      <c r="B32" s="177" t="s">
        <v>34</v>
      </c>
      <c r="C32" s="285">
        <f>SUM(C23:C30)</f>
        <v>0</v>
      </c>
      <c r="D32" s="285">
        <f>SUM(D23:D30)</f>
        <v>0</v>
      </c>
      <c r="E32" s="198">
        <f>SUM(E23:E30)</f>
        <v>0</v>
      </c>
      <c r="G32" s="764">
        <f>'Budget Hearing Notice'!E43</f>
        <v>38.04</v>
      </c>
      <c r="H32" s="758" t="str">
        <f>CONCATENATE(E1-1," Total Mill Rate")</f>
        <v>2022 Total Mill Rate</v>
      </c>
      <c r="I32" s="759"/>
      <c r="J32" s="760"/>
    </row>
    <row r="33" spans="2:10" x14ac:dyDescent="0.2">
      <c r="B33" s="95" t="s">
        <v>100</v>
      </c>
      <c r="C33" s="282">
        <f>C21-C32</f>
        <v>0</v>
      </c>
      <c r="D33" s="282">
        <f>D21-D32</f>
        <v>0</v>
      </c>
      <c r="E33" s="193" t="s">
        <v>10</v>
      </c>
      <c r="G33" s="765"/>
      <c r="H33" s="766"/>
      <c r="I33" s="766"/>
      <c r="J33" s="767"/>
    </row>
    <row r="34" spans="2:10" x14ac:dyDescent="0.2">
      <c r="B34" s="110" t="str">
        <f>CONCATENATE("",E1-2,"/",E1-1,"/",E1," Budget Authority Amount:")</f>
        <v>2021/2022/2023 Budget Authority Amount:</v>
      </c>
      <c r="C34" s="428">
        <f>inputOth!B71</f>
        <v>0</v>
      </c>
      <c r="D34" s="591">
        <f>inputPrYr!D25</f>
        <v>0</v>
      </c>
      <c r="E34" s="139">
        <f>E32</f>
        <v>0</v>
      </c>
      <c r="G34" s="894" t="s">
        <v>971</v>
      </c>
      <c r="H34" s="895"/>
      <c r="I34" s="895"/>
      <c r="J34" s="898" t="str">
        <f>IF(G31&gt;G30, "Yes", "No")</f>
        <v>No</v>
      </c>
    </row>
    <row r="35" spans="2:10" x14ac:dyDescent="0.2">
      <c r="B35" s="83"/>
      <c r="C35" s="881" t="s">
        <v>514</v>
      </c>
      <c r="D35" s="882"/>
      <c r="E35" s="26"/>
      <c r="G35" s="896"/>
      <c r="H35" s="897"/>
      <c r="I35" s="897"/>
      <c r="J35" s="899"/>
    </row>
    <row r="36" spans="2:10" x14ac:dyDescent="0.2">
      <c r="B36" s="301" t="str">
        <f>CONCATENATE(C97,"     ",D97)</f>
        <v xml:space="preserve">     </v>
      </c>
      <c r="C36" s="883" t="s">
        <v>515</v>
      </c>
      <c r="D36" s="884"/>
      <c r="E36" s="139">
        <f>E32+E35</f>
        <v>0</v>
      </c>
      <c r="G36" s="900" t="str">
        <f>IF(J34="Yes", "Follow procedure prescribed by KSA 79-2988 to exceed the Revenue Neutral Rate.", " ")</f>
        <v xml:space="preserve"> </v>
      </c>
      <c r="H36" s="900"/>
      <c r="I36" s="900"/>
      <c r="J36" s="900"/>
    </row>
    <row r="37" spans="2:10" x14ac:dyDescent="0.2">
      <c r="B37" s="301" t="str">
        <f>CONCATENATE(C98,"     ",D98)</f>
        <v xml:space="preserve">     </v>
      </c>
      <c r="C37" s="184"/>
      <c r="D37" s="108" t="s">
        <v>35</v>
      </c>
      <c r="E37" s="139">
        <f>IF(E36-E21&gt;0,E36-E21,0)</f>
        <v>0</v>
      </c>
      <c r="F37" s="183"/>
      <c r="G37" s="901"/>
      <c r="H37" s="901"/>
      <c r="I37" s="901"/>
      <c r="J37" s="901"/>
    </row>
    <row r="38" spans="2:10" x14ac:dyDescent="0.2">
      <c r="B38" s="108"/>
      <c r="C38" s="289" t="s">
        <v>516</v>
      </c>
      <c r="D38" s="497">
        <f>inputOth!$E$52</f>
        <v>0.03</v>
      </c>
      <c r="E38" s="139">
        <f>ROUND(IF(D38&gt;0,(E37*D38),0),0)</f>
        <v>0</v>
      </c>
      <c r="F38" s="586" t="str">
        <f>IF(E32/0.95-E32&lt;E35,"Exceeds 5%","")</f>
        <v/>
      </c>
      <c r="G38" s="901"/>
      <c r="H38" s="901"/>
      <c r="I38" s="901"/>
      <c r="J38" s="901"/>
    </row>
    <row r="39" spans="2:10" ht="16.5" thickBot="1" x14ac:dyDescent="0.25">
      <c r="B39" s="6"/>
      <c r="C39" s="874" t="str">
        <f>CONCATENATE("Amount of  ",$E$1-1," Ad Valorem Tax")</f>
        <v>Amount of  2022 Ad Valorem Tax</v>
      </c>
      <c r="D39" s="885"/>
      <c r="E39" s="199">
        <f>E37+E38</f>
        <v>0</v>
      </c>
    </row>
    <row r="40" spans="2:10" ht="16.5" thickTop="1" x14ac:dyDescent="0.2">
      <c r="B40" s="6"/>
      <c r="C40" s="906"/>
      <c r="D40" s="906"/>
      <c r="E40" s="6"/>
    </row>
    <row r="41" spans="2:10" x14ac:dyDescent="0.2">
      <c r="B41" s="6"/>
      <c r="C41" s="6"/>
      <c r="D41" s="6"/>
      <c r="E41" s="6"/>
    </row>
    <row r="42" spans="2:10" x14ac:dyDescent="0.2">
      <c r="B42" s="9"/>
      <c r="C42" s="197"/>
      <c r="D42" s="197"/>
      <c r="E42" s="197"/>
    </row>
    <row r="43" spans="2:10" x14ac:dyDescent="0.2">
      <c r="B43" s="9" t="s">
        <v>20</v>
      </c>
      <c r="C43" s="539" t="str">
        <f t="shared" ref="C43:E44" si="0">C4</f>
        <v xml:space="preserve">Prior Year </v>
      </c>
      <c r="D43" s="540" t="str">
        <f t="shared" si="0"/>
        <v xml:space="preserve">Current Year </v>
      </c>
      <c r="E43" s="89" t="str">
        <f t="shared" si="0"/>
        <v xml:space="preserve">Proposed Budget </v>
      </c>
    </row>
    <row r="44" spans="2:10" x14ac:dyDescent="0.2">
      <c r="B44" s="297">
        <f>inputPrYr!B26</f>
        <v>0</v>
      </c>
      <c r="C44" s="283" t="str">
        <f t="shared" si="0"/>
        <v>Actual for 2021</v>
      </c>
      <c r="D44" s="283" t="str">
        <f t="shared" si="0"/>
        <v>Estimate for 2022</v>
      </c>
      <c r="E44" s="124" t="str">
        <f t="shared" si="0"/>
        <v>Year for 2023</v>
      </c>
    </row>
    <row r="45" spans="2:10" x14ac:dyDescent="0.2">
      <c r="B45" s="167" t="s">
        <v>99</v>
      </c>
      <c r="C45" s="168"/>
      <c r="D45" s="282">
        <f>C75</f>
        <v>0</v>
      </c>
      <c r="E45" s="139">
        <f>D75</f>
        <v>0</v>
      </c>
    </row>
    <row r="46" spans="2:10" x14ac:dyDescent="0.2">
      <c r="B46" s="167" t="s">
        <v>101</v>
      </c>
      <c r="C46" s="103"/>
      <c r="D46" s="103"/>
      <c r="E46" s="41"/>
    </row>
    <row r="47" spans="2:10" x14ac:dyDescent="0.2">
      <c r="B47" s="95" t="s">
        <v>21</v>
      </c>
      <c r="C47" s="168"/>
      <c r="D47" s="282">
        <f>IF(inputPrYr!H21&gt;0,inputPrYr!G29,inputPrYr!E26)</f>
        <v>0</v>
      </c>
      <c r="E47" s="193" t="s">
        <v>10</v>
      </c>
    </row>
    <row r="48" spans="2:10" x14ac:dyDescent="0.2">
      <c r="B48" s="95" t="s">
        <v>22</v>
      </c>
      <c r="C48" s="168"/>
      <c r="D48" s="168"/>
      <c r="E48" s="26"/>
    </row>
    <row r="49" spans="2:11" x14ac:dyDescent="0.2">
      <c r="B49" s="95" t="s">
        <v>23</v>
      </c>
      <c r="C49" s="168"/>
      <c r="D49" s="168"/>
      <c r="E49" s="139" t="str">
        <f>Mvalloc!D13</f>
        <v xml:space="preserve">  </v>
      </c>
    </row>
    <row r="50" spans="2:11" x14ac:dyDescent="0.2">
      <c r="B50" s="95" t="s">
        <v>24</v>
      </c>
      <c r="C50" s="168"/>
      <c r="D50" s="168"/>
      <c r="E50" s="139" t="str">
        <f>Mvalloc!E13</f>
        <v xml:space="preserve"> </v>
      </c>
    </row>
    <row r="51" spans="2:11" x14ac:dyDescent="0.2">
      <c r="B51" s="103" t="s">
        <v>91</v>
      </c>
      <c r="C51" s="168"/>
      <c r="D51" s="168"/>
      <c r="E51" s="139" t="str">
        <f>Mvalloc!F13</f>
        <v xml:space="preserve"> </v>
      </c>
      <c r="G51" s="902" t="str">
        <f>CONCATENATE("Desired Carryover Into ",E1+1,"")</f>
        <v>Desired Carryover Into 2024</v>
      </c>
      <c r="H51" s="886"/>
      <c r="I51" s="886"/>
      <c r="J51" s="887"/>
    </row>
    <row r="52" spans="2:11" x14ac:dyDescent="0.2">
      <c r="B52" s="646" t="s">
        <v>819</v>
      </c>
      <c r="C52" s="168"/>
      <c r="D52" s="168"/>
      <c r="E52" s="139" t="str">
        <f>Mvalloc!G13</f>
        <v xml:space="preserve"> </v>
      </c>
      <c r="G52" s="561"/>
      <c r="H52" s="548"/>
      <c r="I52" s="555"/>
      <c r="J52" s="562"/>
    </row>
    <row r="53" spans="2:11" x14ac:dyDescent="0.2">
      <c r="B53" s="646" t="s">
        <v>820</v>
      </c>
      <c r="C53" s="168"/>
      <c r="D53" s="168"/>
      <c r="E53" s="139" t="str">
        <f>Mvalloc!H13</f>
        <v xml:space="preserve"> </v>
      </c>
      <c r="G53" s="560" t="s">
        <v>522</v>
      </c>
      <c r="H53" s="555"/>
      <c r="I53" s="555"/>
      <c r="J53" s="549">
        <v>0</v>
      </c>
    </row>
    <row r="54" spans="2:11" x14ac:dyDescent="0.2">
      <c r="B54" s="26"/>
      <c r="C54" s="168"/>
      <c r="D54" s="168"/>
      <c r="E54" s="26"/>
      <c r="G54" s="561" t="s">
        <v>523</v>
      </c>
      <c r="H54" s="548"/>
      <c r="I54" s="548"/>
      <c r="J54" s="575" t="str">
        <f>IF(J53=0,"",ROUND((J53+E81-G66)/inputOth!E7*1000,3)-G71)</f>
        <v/>
      </c>
    </row>
    <row r="55" spans="2:11" x14ac:dyDescent="0.2">
      <c r="B55" s="180"/>
      <c r="C55" s="168"/>
      <c r="D55" s="168"/>
      <c r="E55" s="26"/>
      <c r="G55" s="573" t="str">
        <f>CONCATENATE("",E1," Tot Exp/Non-Appr Must Be:")</f>
        <v>2023 Tot Exp/Non-Appr Must Be:</v>
      </c>
      <c r="H55" s="571"/>
      <c r="I55" s="572"/>
      <c r="J55" s="570">
        <f>IF(J53&gt;0,IF(E78&lt;E63,IF(J53=G66,E78,((J53-G66)*(1-D80))+E63),E78+(J53-G66)),0)</f>
        <v>0</v>
      </c>
    </row>
    <row r="56" spans="2:11" x14ac:dyDescent="0.2">
      <c r="B56" s="180"/>
      <c r="C56" s="168"/>
      <c r="D56" s="168"/>
      <c r="E56" s="26"/>
      <c r="G56" s="495" t="s">
        <v>670</v>
      </c>
      <c r="H56" s="578"/>
      <c r="I56" s="578"/>
      <c r="J56" s="574">
        <f>IF(J53&gt;0,J55-E78,0)</f>
        <v>0</v>
      </c>
    </row>
    <row r="57" spans="2:11" x14ac:dyDescent="0.25">
      <c r="B57" s="180"/>
      <c r="C57" s="168"/>
      <c r="D57" s="168"/>
      <c r="E57" s="26"/>
      <c r="J57" s="543"/>
    </row>
    <row r="58" spans="2:11" x14ac:dyDescent="0.2">
      <c r="B58" s="175" t="s">
        <v>26</v>
      </c>
      <c r="C58" s="168"/>
      <c r="D58" s="168"/>
      <c r="E58" s="26"/>
      <c r="G58" s="902" t="str">
        <f>CONCATENATE("Projected Carryover Into ",E1+1,"")</f>
        <v>Projected Carryover Into 2024</v>
      </c>
      <c r="H58" s="912"/>
      <c r="I58" s="912"/>
      <c r="J58" s="913"/>
    </row>
    <row r="59" spans="2:11" x14ac:dyDescent="0.2">
      <c r="B59" s="181" t="s">
        <v>193</v>
      </c>
      <c r="C59" s="168"/>
      <c r="D59" s="168"/>
      <c r="E59" s="673">
        <f>'NR Rebate'!E12*-1</f>
        <v>0</v>
      </c>
      <c r="G59" s="550"/>
      <c r="H59" s="548"/>
      <c r="I59" s="548"/>
      <c r="J59" s="583"/>
    </row>
    <row r="60" spans="2:11" x14ac:dyDescent="0.2">
      <c r="B60" s="103" t="s">
        <v>192</v>
      </c>
      <c r="C60" s="168"/>
      <c r="D60" s="168"/>
      <c r="E60" s="26"/>
      <c r="G60" s="552">
        <f>D75</f>
        <v>0</v>
      </c>
      <c r="H60" s="553" t="str">
        <f>CONCATENATE("",E1-1," Ending Cash Balance (est.)")</f>
        <v>2022 Ending Cash Balance (est.)</v>
      </c>
      <c r="I60" s="554"/>
      <c r="J60" s="583"/>
    </row>
    <row r="61" spans="2:11" x14ac:dyDescent="0.2">
      <c r="B61" s="167" t="s">
        <v>654</v>
      </c>
      <c r="C61" s="284" t="str">
        <f>IF(C62*0.1&lt;C60,"Exceed 10% Rule","")</f>
        <v/>
      </c>
      <c r="D61" s="284" t="str">
        <f>IF(D62*0.1&lt;D60,"Exceed 10% Rule","")</f>
        <v/>
      </c>
      <c r="E61" s="299" t="str">
        <f>IF(E62*0.1+E81&lt;E60,"Exceed 10% Rule","")</f>
        <v/>
      </c>
      <c r="G61" s="552">
        <f>E62</f>
        <v>0</v>
      </c>
      <c r="H61" s="555" t="str">
        <f>CONCATENATE("",E1," Non-AV Receipts (est.)")</f>
        <v>2023 Non-AV Receipts (est.)</v>
      </c>
      <c r="I61" s="554"/>
      <c r="J61" s="583"/>
    </row>
    <row r="62" spans="2:11" x14ac:dyDescent="0.2">
      <c r="B62" s="177" t="s">
        <v>27</v>
      </c>
      <c r="C62" s="285">
        <f>SUM(C47:C60)</f>
        <v>0</v>
      </c>
      <c r="D62" s="285">
        <f>SUM(D47:D60)</f>
        <v>0</v>
      </c>
      <c r="E62" s="198">
        <f>SUM(E48:E60)</f>
        <v>0</v>
      </c>
      <c r="G62" s="556">
        <f>IF(D80&gt;0,E79,E81)</f>
        <v>0</v>
      </c>
      <c r="H62" s="555" t="str">
        <f>CONCATENATE("",E1," Ad Valorem Tax (est.)")</f>
        <v>2023 Ad Valorem Tax (est.)</v>
      </c>
      <c r="I62" s="554"/>
      <c r="J62" s="583"/>
      <c r="K62" s="498" t="str">
        <f>IF(G62=E81,"","Note: Does not include Delinquent Taxes")</f>
        <v/>
      </c>
    </row>
    <row r="63" spans="2:11" x14ac:dyDescent="0.2">
      <c r="B63" s="177" t="s">
        <v>28</v>
      </c>
      <c r="C63" s="285">
        <f>C45+C62</f>
        <v>0</v>
      </c>
      <c r="D63" s="285">
        <f>D45+D62</f>
        <v>0</v>
      </c>
      <c r="E63" s="198">
        <f>E45+E62</f>
        <v>0</v>
      </c>
      <c r="G63" s="563">
        <f>SUM(G60:G62)</f>
        <v>0</v>
      </c>
      <c r="H63" s="555" t="str">
        <f>CONCATENATE("Total ",E1," Resources Available")</f>
        <v>Total 2023 Resources Available</v>
      </c>
      <c r="I63" s="551"/>
      <c r="J63" s="583"/>
    </row>
    <row r="64" spans="2:11" x14ac:dyDescent="0.2">
      <c r="B64" s="95" t="s">
        <v>30</v>
      </c>
      <c r="C64" s="181"/>
      <c r="D64" s="181"/>
      <c r="E64" s="24"/>
      <c r="G64" s="566"/>
      <c r="H64" s="564"/>
      <c r="I64" s="548"/>
      <c r="J64" s="583"/>
    </row>
    <row r="65" spans="2:10" x14ac:dyDescent="0.2">
      <c r="B65" s="180"/>
      <c r="C65" s="168"/>
      <c r="D65" s="168"/>
      <c r="E65" s="26"/>
      <c r="G65" s="565">
        <f>ROUND(C74*0.05+C74,0)</f>
        <v>0</v>
      </c>
      <c r="H65" s="564" t="str">
        <f>CONCATENATE("Less ",E1-2," Expenditures + 5%")</f>
        <v>Less 2021 Expenditures + 5%</v>
      </c>
      <c r="I65" s="551"/>
      <c r="J65" s="583"/>
    </row>
    <row r="66" spans="2:10" x14ac:dyDescent="0.25">
      <c r="B66" s="180"/>
      <c r="C66" s="168"/>
      <c r="D66" s="168"/>
      <c r="E66" s="26"/>
      <c r="G66" s="567">
        <f>G63-G65</f>
        <v>0</v>
      </c>
      <c r="H66" s="568" t="str">
        <f>CONCATENATE("Projected ",E1+1," carryover (est.)")</f>
        <v>Projected 2024 carryover (est.)</v>
      </c>
      <c r="I66" s="559"/>
      <c r="J66" s="581"/>
    </row>
    <row r="67" spans="2:10" x14ac:dyDescent="0.25">
      <c r="B67" s="180"/>
      <c r="C67" s="168"/>
      <c r="D67" s="168"/>
      <c r="E67" s="26"/>
      <c r="G67" s="543"/>
      <c r="H67" s="543"/>
      <c r="I67" s="543"/>
    </row>
    <row r="68" spans="2:10" x14ac:dyDescent="0.2">
      <c r="B68" s="180"/>
      <c r="C68" s="168"/>
      <c r="D68" s="168"/>
      <c r="E68" s="26"/>
      <c r="G68" s="888" t="s">
        <v>969</v>
      </c>
      <c r="H68" s="889"/>
      <c r="I68" s="889"/>
      <c r="J68" s="890"/>
    </row>
    <row r="69" spans="2:10" x14ac:dyDescent="0.2">
      <c r="B69" s="180"/>
      <c r="C69" s="168"/>
      <c r="D69" s="168"/>
      <c r="E69" s="26"/>
      <c r="G69" s="891"/>
      <c r="H69" s="892"/>
      <c r="I69" s="892"/>
      <c r="J69" s="893"/>
    </row>
    <row r="70" spans="2:10" x14ac:dyDescent="0.2">
      <c r="B70" s="180"/>
      <c r="C70" s="168"/>
      <c r="D70" s="168"/>
      <c r="E70" s="26"/>
      <c r="G70" s="757" t="str">
        <f>'Budget Hearing Notice'!H22</f>
        <v xml:space="preserve">  </v>
      </c>
      <c r="H70" s="758" t="str">
        <f>CONCATENATE("",E1," Estimated Fund Mill Rate")</f>
        <v>2023 Estimated Fund Mill Rate</v>
      </c>
      <c r="I70" s="759"/>
      <c r="J70" s="760"/>
    </row>
    <row r="71" spans="2:10" x14ac:dyDescent="0.2">
      <c r="B71" s="181" t="str">
        <f>CONCATENATE("Cash Forward (",E1," column)")</f>
        <v>Cash Forward (2023 column)</v>
      </c>
      <c r="C71" s="168"/>
      <c r="D71" s="168"/>
      <c r="E71" s="26"/>
      <c r="G71" s="761" t="str">
        <f>'Budget Hearing Notice'!E22</f>
        <v xml:space="preserve">  </v>
      </c>
      <c r="H71" s="758" t="str">
        <f>CONCATENATE("",E1-1," Fund Mill Rate")</f>
        <v>2022 Fund Mill Rate</v>
      </c>
      <c r="I71" s="759"/>
      <c r="J71" s="760"/>
    </row>
    <row r="72" spans="2:10" x14ac:dyDescent="0.2">
      <c r="B72" s="181" t="s">
        <v>192</v>
      </c>
      <c r="C72" s="168"/>
      <c r="D72" s="168"/>
      <c r="E72" s="26"/>
      <c r="G72" s="762">
        <f>inputOth!D20</f>
        <v>34.689</v>
      </c>
      <c r="H72" s="763" t="s">
        <v>970</v>
      </c>
      <c r="I72" s="759"/>
      <c r="J72" s="760"/>
    </row>
    <row r="73" spans="2:10" x14ac:dyDescent="0.2">
      <c r="B73" s="181" t="s">
        <v>655</v>
      </c>
      <c r="C73" s="284" t="str">
        <f>IF(C74*0.1&lt;C72,"Exceed 10% Rule","")</f>
        <v/>
      </c>
      <c r="D73" s="284" t="str">
        <f>IF(D74*0.1&lt;D72,"Exceed 10% Rule","")</f>
        <v/>
      </c>
      <c r="E73" s="299" t="str">
        <f>IF(E74*0.1&lt;E72,"Exceed 10% Rule","")</f>
        <v/>
      </c>
      <c r="G73" s="757">
        <f>'Budget Hearing Notice'!H43</f>
        <v>29.513999999999999</v>
      </c>
      <c r="H73" s="758" t="str">
        <f>CONCATENATE(E1," Estimated Total Mill Rate")</f>
        <v>2023 Estimated Total Mill Rate</v>
      </c>
      <c r="I73" s="759"/>
      <c r="J73" s="760"/>
    </row>
    <row r="74" spans="2:10" x14ac:dyDescent="0.2">
      <c r="B74" s="177" t="s">
        <v>34</v>
      </c>
      <c r="C74" s="285">
        <f>SUM(C65:C72)</f>
        <v>0</v>
      </c>
      <c r="D74" s="285">
        <f>SUM(D65:D72)</f>
        <v>0</v>
      </c>
      <c r="E74" s="198">
        <f>SUM(E65:E72)</f>
        <v>0</v>
      </c>
      <c r="G74" s="764">
        <f>'Budget Hearing Notice'!E43</f>
        <v>38.04</v>
      </c>
      <c r="H74" s="758" t="str">
        <f>CONCATENATE(E1-1," Total Mill Rate")</f>
        <v>2022 Total Mill Rate</v>
      </c>
      <c r="I74" s="759"/>
      <c r="J74" s="760"/>
    </row>
    <row r="75" spans="2:10" x14ac:dyDescent="0.2">
      <c r="B75" s="95" t="s">
        <v>100</v>
      </c>
      <c r="C75" s="282">
        <f>C63-C74</f>
        <v>0</v>
      </c>
      <c r="D75" s="282">
        <f>D63-D74</f>
        <v>0</v>
      </c>
      <c r="E75" s="193" t="s">
        <v>10</v>
      </c>
      <c r="G75" s="765"/>
      <c r="H75" s="766"/>
      <c r="I75" s="766"/>
      <c r="J75" s="767"/>
    </row>
    <row r="76" spans="2:10" x14ac:dyDescent="0.2">
      <c r="B76" s="110" t="str">
        <f>CONCATENATE("",E1-2,"/",E1-1,"/",E1," Budget Authority Amount:")</f>
        <v>2021/2022/2023 Budget Authority Amount:</v>
      </c>
      <c r="C76" s="428">
        <f>inputOth!B72</f>
        <v>0</v>
      </c>
      <c r="D76" s="591">
        <f>inputPrYr!D26</f>
        <v>0</v>
      </c>
      <c r="E76" s="139">
        <f>E74</f>
        <v>0</v>
      </c>
      <c r="G76" s="894" t="s">
        <v>971</v>
      </c>
      <c r="H76" s="895"/>
      <c r="I76" s="895"/>
      <c r="J76" s="898" t="str">
        <f>IF(G73&gt;G72, "Yes", "No")</f>
        <v>No</v>
      </c>
    </row>
    <row r="77" spans="2:10" x14ac:dyDescent="0.2">
      <c r="B77" s="83"/>
      <c r="C77" s="881" t="s">
        <v>514</v>
      </c>
      <c r="D77" s="882"/>
      <c r="E77" s="26"/>
      <c r="G77" s="896"/>
      <c r="H77" s="897"/>
      <c r="I77" s="897"/>
      <c r="J77" s="899"/>
    </row>
    <row r="78" spans="2:10" x14ac:dyDescent="0.2">
      <c r="B78" s="301" t="str">
        <f>CONCATENATE(C99,"     ",D99)</f>
        <v xml:space="preserve">     </v>
      </c>
      <c r="C78" s="883" t="s">
        <v>515</v>
      </c>
      <c r="D78" s="884"/>
      <c r="E78" s="139">
        <f>E74+E77</f>
        <v>0</v>
      </c>
      <c r="G78" s="900" t="str">
        <f>IF(J76="Yes", "Follow procedure prescribed by KSA 79-2988 to exceed the Revenue Neutral Rate.", " ")</f>
        <v xml:space="preserve"> </v>
      </c>
      <c r="H78" s="900"/>
      <c r="I78" s="900"/>
      <c r="J78" s="900"/>
    </row>
    <row r="79" spans="2:10" x14ac:dyDescent="0.2">
      <c r="B79" s="301" t="str">
        <f>CONCATENATE(C100,"     ",D100)</f>
        <v xml:space="preserve">     </v>
      </c>
      <c r="C79" s="184"/>
      <c r="D79" s="108" t="s">
        <v>35</v>
      </c>
      <c r="E79" s="139">
        <f>IF(E78-E63&gt;0,E78-E63,0)</f>
        <v>0</v>
      </c>
      <c r="F79" s="183"/>
      <c r="G79" s="901"/>
      <c r="H79" s="901"/>
      <c r="I79" s="901"/>
      <c r="J79" s="901"/>
    </row>
    <row r="80" spans="2:10" x14ac:dyDescent="0.2">
      <c r="B80" s="108"/>
      <c r="C80" s="289" t="s">
        <v>516</v>
      </c>
      <c r="D80" s="497">
        <f>inputOth!$E$52</f>
        <v>0.03</v>
      </c>
      <c r="E80" s="139">
        <f>ROUND(IF(D80&gt;0,(E79*D80),0),0)</f>
        <v>0</v>
      </c>
      <c r="F80" s="586" t="str">
        <f>IF(E74/0.95-E74&lt;E77,"Exceeds 5%","")</f>
        <v/>
      </c>
      <c r="G80" s="901"/>
      <c r="H80" s="901"/>
      <c r="I80" s="901"/>
      <c r="J80" s="901"/>
    </row>
    <row r="81" spans="2:5" ht="16.5" thickBot="1" x14ac:dyDescent="0.25">
      <c r="B81" s="6"/>
      <c r="C81" s="874" t="str">
        <f>CONCATENATE("Amount of  ",$E$1-1," Ad Valorem Tax")</f>
        <v>Amount of  2022 Ad Valorem Tax</v>
      </c>
      <c r="D81" s="885"/>
      <c r="E81" s="199">
        <f>E79+E80</f>
        <v>0</v>
      </c>
    </row>
    <row r="82" spans="2:5" ht="16.5" thickTop="1" x14ac:dyDescent="0.2">
      <c r="B82" s="6"/>
      <c r="C82" s="906"/>
      <c r="D82" s="906"/>
      <c r="E82" s="6"/>
    </row>
    <row r="83" spans="2:5" x14ac:dyDescent="0.2">
      <c r="B83" s="727" t="s">
        <v>839</v>
      </c>
      <c r="C83" s="693"/>
      <c r="D83" s="693"/>
      <c r="E83" s="694"/>
    </row>
    <row r="84" spans="2:5" x14ac:dyDescent="0.2">
      <c r="B84" s="38"/>
      <c r="C84" s="290"/>
      <c r="D84" s="290"/>
      <c r="E84" s="546"/>
    </row>
    <row r="85" spans="2:5" x14ac:dyDescent="0.2">
      <c r="B85" s="462"/>
      <c r="C85" s="695"/>
      <c r="D85" s="695"/>
      <c r="E85" s="45"/>
    </row>
    <row r="86" spans="2:5" x14ac:dyDescent="0.2">
      <c r="B86" s="6"/>
      <c r="C86" s="6"/>
      <c r="D86" s="6"/>
      <c r="E86" s="6"/>
    </row>
    <row r="87" spans="2:5" x14ac:dyDescent="0.2">
      <c r="B87" s="83" t="s">
        <v>37</v>
      </c>
      <c r="C87" s="600">
        <v>9</v>
      </c>
      <c r="D87" s="6"/>
      <c r="E87" s="6"/>
    </row>
    <row r="97" spans="3:4" hidden="1" x14ac:dyDescent="0.2">
      <c r="C97" s="302" t="str">
        <f>IF(C32&gt;C34,"See Tab A","")</f>
        <v/>
      </c>
      <c r="D97" s="302" t="str">
        <f>IF(D32&gt;D34,"See Tab C","")</f>
        <v/>
      </c>
    </row>
    <row r="98" spans="3:4" hidden="1" x14ac:dyDescent="0.2">
      <c r="C98" s="302" t="str">
        <f>IF(C33&lt;0,"See Tab B","")</f>
        <v/>
      </c>
      <c r="D98" s="302" t="str">
        <f>IF(D33&lt;0,"See Tab D","")</f>
        <v/>
      </c>
    </row>
    <row r="99" spans="3:4" hidden="1" x14ac:dyDescent="0.2">
      <c r="C99" s="302" t="str">
        <f>IF(C74&gt;C76,"See Tab A","")</f>
        <v/>
      </c>
      <c r="D99" s="302" t="str">
        <f>IF(D74&gt;D76,"See Tab C","")</f>
        <v/>
      </c>
    </row>
    <row r="100" spans="3:4" hidden="1" x14ac:dyDescent="0.2">
      <c r="C100" s="302" t="str">
        <f>IF(C75&lt;0,"See Tab B","")</f>
        <v/>
      </c>
      <c r="D100" s="302" t="str">
        <f>IF(D75&lt;0,"See Tab D","")</f>
        <v/>
      </c>
    </row>
  </sheetData>
  <sheetProtection sheet="1" objects="1" scenarios="1"/>
  <mergeCells count="20">
    <mergeCell ref="G9:J9"/>
    <mergeCell ref="G16:J16"/>
    <mergeCell ref="G51:J51"/>
    <mergeCell ref="G58:J58"/>
    <mergeCell ref="G68:J69"/>
    <mergeCell ref="C82:D82"/>
    <mergeCell ref="C40:D40"/>
    <mergeCell ref="C77:D77"/>
    <mergeCell ref="C78:D78"/>
    <mergeCell ref="C35:D35"/>
    <mergeCell ref="C36:D36"/>
    <mergeCell ref="C81:D81"/>
    <mergeCell ref="C39:D39"/>
    <mergeCell ref="G76:I77"/>
    <mergeCell ref="J76:J77"/>
    <mergeCell ref="G78:J80"/>
    <mergeCell ref="G26:J27"/>
    <mergeCell ref="G34:I35"/>
    <mergeCell ref="J34:J35"/>
    <mergeCell ref="G36:J38"/>
  </mergeCells>
  <phoneticPr fontId="0" type="noConversion"/>
  <conditionalFormatting sqref="E30">
    <cfRule type="cellIs" dxfId="218" priority="5" stopIfTrue="1" operator="greaterThan">
      <formula>$E$32*0.1</formula>
    </cfRule>
  </conditionalFormatting>
  <conditionalFormatting sqref="E35">
    <cfRule type="cellIs" dxfId="217" priority="6" stopIfTrue="1" operator="greaterThan">
      <formula>$E$32/0.95-$E$32</formula>
    </cfRule>
  </conditionalFormatting>
  <conditionalFormatting sqref="E72">
    <cfRule type="cellIs" dxfId="216" priority="7" stopIfTrue="1" operator="greaterThan">
      <formula>$E$74*0.1</formula>
    </cfRule>
  </conditionalFormatting>
  <conditionalFormatting sqref="E77">
    <cfRule type="cellIs" dxfId="215" priority="8" stopIfTrue="1" operator="greaterThan">
      <formula>$E$74/0.95-$E$74</formula>
    </cfRule>
  </conditionalFormatting>
  <conditionalFormatting sqref="D32">
    <cfRule type="cellIs" dxfId="214" priority="9" stopIfTrue="1" operator="greaterThan">
      <formula>$D$34</formula>
    </cfRule>
  </conditionalFormatting>
  <conditionalFormatting sqref="C32">
    <cfRule type="cellIs" dxfId="213" priority="10" stopIfTrue="1" operator="greaterThan">
      <formula>$C$34</formula>
    </cfRule>
  </conditionalFormatting>
  <conditionalFormatting sqref="C33 C75">
    <cfRule type="cellIs" dxfId="212" priority="11" stopIfTrue="1" operator="lessThan">
      <formula>0</formula>
    </cfRule>
  </conditionalFormatting>
  <conditionalFormatting sqref="D74">
    <cfRule type="cellIs" dxfId="211" priority="12" stopIfTrue="1" operator="greaterThan">
      <formula>$D$76</formula>
    </cfRule>
  </conditionalFormatting>
  <conditionalFormatting sqref="C74">
    <cfRule type="cellIs" dxfId="210" priority="13" stopIfTrue="1" operator="greaterThan">
      <formula>$C$76</formula>
    </cfRule>
  </conditionalFormatting>
  <conditionalFormatting sqref="C30">
    <cfRule type="cellIs" dxfId="209" priority="14" stopIfTrue="1" operator="greaterThan">
      <formula>$C$32*0.1</formula>
    </cfRule>
  </conditionalFormatting>
  <conditionalFormatting sqref="D30">
    <cfRule type="cellIs" dxfId="208" priority="15" stopIfTrue="1" operator="greaterThan">
      <formula>$D$32*0.1</formula>
    </cfRule>
  </conditionalFormatting>
  <conditionalFormatting sqref="C72">
    <cfRule type="cellIs" dxfId="207" priority="16" stopIfTrue="1" operator="greaterThan">
      <formula>$C$74*0.1</formula>
    </cfRule>
  </conditionalFormatting>
  <conditionalFormatting sqref="D72">
    <cfRule type="cellIs" dxfId="206" priority="17" stopIfTrue="1" operator="greaterThan">
      <formula>$D$74*0.1</formula>
    </cfRule>
  </conditionalFormatting>
  <conditionalFormatting sqref="D60">
    <cfRule type="cellIs" dxfId="205" priority="18" stopIfTrue="1" operator="greaterThan">
      <formula>$D$62*0.1</formula>
    </cfRule>
  </conditionalFormatting>
  <conditionalFormatting sqref="C60">
    <cfRule type="cellIs" dxfId="204" priority="19" stopIfTrue="1" operator="greaterThan">
      <formula>$C$62*0.1</formula>
    </cfRule>
  </conditionalFormatting>
  <conditionalFormatting sqref="D18">
    <cfRule type="cellIs" dxfId="203" priority="20" stopIfTrue="1" operator="greaterThan">
      <formula>$D$20*0.1</formula>
    </cfRule>
  </conditionalFormatting>
  <conditionalFormatting sqref="C18">
    <cfRule type="cellIs" dxfId="202" priority="21" stopIfTrue="1" operator="greaterThan">
      <formula>$C$20*0.1</formula>
    </cfRule>
  </conditionalFormatting>
  <conditionalFormatting sqref="E60">
    <cfRule type="cellIs" dxfId="201" priority="22" stopIfTrue="1" operator="greaterThan">
      <formula>$E$62*0.1+E81</formula>
    </cfRule>
  </conditionalFormatting>
  <conditionalFormatting sqref="E18">
    <cfRule type="cellIs" dxfId="200" priority="23" stopIfTrue="1" operator="greaterThan">
      <formula>$E$20*0.1+E39</formula>
    </cfRule>
  </conditionalFormatting>
  <conditionalFormatting sqref="D75 D33">
    <cfRule type="cellIs" dxfId="199" priority="4" stopIfTrue="1" operator="lessThan">
      <formula>0</formula>
    </cfRule>
  </conditionalFormatting>
  <conditionalFormatting sqref="J76">
    <cfRule type="containsText" dxfId="198" priority="2" operator="containsText" text="Yes">
      <formula>NOT(ISERROR(SEARCH("Yes",J76)))</formula>
    </cfRule>
  </conditionalFormatting>
  <conditionalFormatting sqref="J34">
    <cfRule type="containsText" dxfId="197" priority="1" operator="containsText" text="Yes">
      <formula>NOT(ISERROR(SEARCH("Yes",J34)))</formula>
    </cfRule>
  </conditionalFormatting>
  <pageMargins left="0.5" right="0.5" top="1" bottom="0.5" header="0.5" footer="0.5"/>
  <pageSetup scale="53" orientation="portrait" blackAndWhite="1" horizontalDpi="120" verticalDpi="144" r:id="rId1"/>
  <headerFooter alignWithMargins="0">
    <oddHeader xml:space="preserve">&amp;RState of Kansas
City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tabColor rgb="FF00B0F0"/>
    <pageSetUpPr fitToPage="1"/>
  </sheetPr>
  <dimension ref="B1:K100"/>
  <sheetViews>
    <sheetView topLeftCell="A61" zoomScaleNormal="100" workbookViewId="0">
      <selection activeCell="C87" sqref="C87"/>
    </sheetView>
  </sheetViews>
  <sheetFormatPr defaultRowHeight="15.75" x14ac:dyDescent="0.2"/>
  <cols>
    <col min="1" max="1" width="2.44140625" style="7" customWidth="1"/>
    <col min="2" max="2" width="31.109375" style="7" customWidth="1"/>
    <col min="3" max="4" width="15.77734375" style="7" customWidth="1"/>
    <col min="5" max="5" width="16.109375" style="7" customWidth="1"/>
    <col min="6" max="6" width="8.88671875" style="7"/>
    <col min="7" max="7" width="10.21875" style="7" customWidth="1"/>
    <col min="8" max="8" width="8.88671875" style="7"/>
    <col min="9" max="9" width="5.44140625" style="7" customWidth="1"/>
    <col min="10" max="10" width="10" style="7" customWidth="1"/>
    <col min="11" max="16384" width="8.88671875" style="7"/>
  </cols>
  <sheetData>
    <row r="1" spans="2:10" x14ac:dyDescent="0.2">
      <c r="B1" s="112" t="str">
        <f>(inputPrYr!D3)</f>
        <v>Valley Falls</v>
      </c>
      <c r="C1" s="6"/>
      <c r="D1" s="6"/>
      <c r="E1" s="158">
        <f>inputPrYr!C6</f>
        <v>2023</v>
      </c>
    </row>
    <row r="2" spans="2:10" x14ac:dyDescent="0.2">
      <c r="B2" s="6"/>
      <c r="C2" s="6"/>
      <c r="D2" s="6"/>
      <c r="E2" s="108"/>
    </row>
    <row r="3" spans="2:10" x14ac:dyDescent="0.2">
      <c r="B3" s="17" t="s">
        <v>84</v>
      </c>
      <c r="C3" s="117"/>
      <c r="D3" s="117"/>
      <c r="E3" s="196"/>
    </row>
    <row r="4" spans="2:10" x14ac:dyDescent="0.2">
      <c r="B4" s="9" t="s">
        <v>20</v>
      </c>
      <c r="C4" s="539" t="s">
        <v>665</v>
      </c>
      <c r="D4" s="540" t="s">
        <v>668</v>
      </c>
      <c r="E4" s="89" t="s">
        <v>669</v>
      </c>
    </row>
    <row r="5" spans="2:10" x14ac:dyDescent="0.2">
      <c r="B5" s="297">
        <f>inputPrYr!B27</f>
        <v>0</v>
      </c>
      <c r="C5" s="283" t="str">
        <f>CONCATENATE("Actual for ",E1-2,"")</f>
        <v>Actual for 2021</v>
      </c>
      <c r="D5" s="283" t="str">
        <f>CONCATENATE("Estimate for ",E1-1,"")</f>
        <v>Estimate for 2022</v>
      </c>
      <c r="E5" s="166" t="str">
        <f>CONCATENATE("Year for ",E1,"")</f>
        <v>Year for 2023</v>
      </c>
    </row>
    <row r="6" spans="2:10" x14ac:dyDescent="0.2">
      <c r="B6" s="167" t="s">
        <v>99</v>
      </c>
      <c r="C6" s="168"/>
      <c r="D6" s="282">
        <f>C36</f>
        <v>0</v>
      </c>
      <c r="E6" s="139">
        <f>D36</f>
        <v>0</v>
      </c>
    </row>
    <row r="7" spans="2:10" x14ac:dyDescent="0.2">
      <c r="B7" s="167" t="s">
        <v>101</v>
      </c>
      <c r="C7" s="103"/>
      <c r="D7" s="103"/>
      <c r="E7" s="41"/>
    </row>
    <row r="8" spans="2:10" x14ac:dyDescent="0.2">
      <c r="B8" s="95" t="s">
        <v>21</v>
      </c>
      <c r="C8" s="168"/>
      <c r="D8" s="282">
        <f>IF(inputPrYr!H21&gt;0,inputPrYr!G30,inputPrYr!E27)</f>
        <v>0</v>
      </c>
      <c r="E8" s="193" t="s">
        <v>10</v>
      </c>
    </row>
    <row r="9" spans="2:10" x14ac:dyDescent="0.2">
      <c r="B9" s="95" t="s">
        <v>22</v>
      </c>
      <c r="C9" s="168"/>
      <c r="D9" s="168"/>
      <c r="E9" s="26"/>
    </row>
    <row r="10" spans="2:10" x14ac:dyDescent="0.2">
      <c r="B10" s="95" t="s">
        <v>23</v>
      </c>
      <c r="C10" s="168"/>
      <c r="D10" s="168"/>
      <c r="E10" s="139" t="str">
        <f>Mvalloc!D14</f>
        <v xml:space="preserve">  </v>
      </c>
      <c r="G10" s="902" t="str">
        <f>CONCATENATE("Desired Carryover Into ",E1+1,"")</f>
        <v>Desired Carryover Into 2024</v>
      </c>
      <c r="H10" s="886"/>
      <c r="I10" s="886"/>
      <c r="J10" s="887"/>
    </row>
    <row r="11" spans="2:10" x14ac:dyDescent="0.2">
      <c r="B11" s="95" t="s">
        <v>24</v>
      </c>
      <c r="C11" s="168"/>
      <c r="D11" s="168"/>
      <c r="E11" s="139" t="str">
        <f>Mvalloc!E14</f>
        <v xml:space="preserve"> </v>
      </c>
      <c r="G11" s="561"/>
      <c r="H11" s="548"/>
      <c r="I11" s="555"/>
      <c r="J11" s="562"/>
    </row>
    <row r="12" spans="2:10" x14ac:dyDescent="0.2">
      <c r="B12" s="103" t="s">
        <v>91</v>
      </c>
      <c r="C12" s="168"/>
      <c r="D12" s="168"/>
      <c r="E12" s="139" t="str">
        <f>Mvalloc!F14</f>
        <v xml:space="preserve"> </v>
      </c>
      <c r="G12" s="560" t="s">
        <v>522</v>
      </c>
      <c r="H12" s="555"/>
      <c r="I12" s="555"/>
      <c r="J12" s="549">
        <v>0</v>
      </c>
    </row>
    <row r="13" spans="2:10" x14ac:dyDescent="0.2">
      <c r="B13" s="646" t="s">
        <v>819</v>
      </c>
      <c r="C13" s="168"/>
      <c r="D13" s="168"/>
      <c r="E13" s="139" t="str">
        <f>Mvalloc!G14</f>
        <v xml:space="preserve"> </v>
      </c>
      <c r="G13" s="561" t="s">
        <v>523</v>
      </c>
      <c r="H13" s="548"/>
      <c r="I13" s="548"/>
      <c r="J13" s="575" t="str">
        <f>IF(J12=0,"",ROUND((J12+E42-G25)/inputOth!E7*1000,3)-G30)</f>
        <v/>
      </c>
    </row>
    <row r="14" spans="2:10" x14ac:dyDescent="0.2">
      <c r="B14" s="646" t="s">
        <v>820</v>
      </c>
      <c r="C14" s="168"/>
      <c r="D14" s="168"/>
      <c r="E14" s="139" t="str">
        <f>Mvalloc!H14</f>
        <v xml:space="preserve"> </v>
      </c>
      <c r="G14" s="573" t="str">
        <f>CONCATENATE("",E1," Tot Exp/Non-Appr Must Be:")</f>
        <v>2023 Tot Exp/Non-Appr Must Be:</v>
      </c>
      <c r="H14" s="571"/>
      <c r="I14" s="572"/>
      <c r="J14" s="570">
        <f>IF(J12&gt;0,IF(E39&lt;E24,IF(J12=G25,E39,((J12-G25)*(1-D41))+E24),E39+(J12-G25)),0)</f>
        <v>0</v>
      </c>
    </row>
    <row r="15" spans="2:10" x14ac:dyDescent="0.2">
      <c r="B15" s="26"/>
      <c r="C15" s="168"/>
      <c r="D15" s="168"/>
      <c r="E15" s="26"/>
      <c r="G15" s="495" t="s">
        <v>670</v>
      </c>
      <c r="H15" s="578"/>
      <c r="I15" s="578"/>
      <c r="J15" s="574">
        <f>IF(J12&gt;0,J14-E39,0)</f>
        <v>0</v>
      </c>
    </row>
    <row r="16" spans="2:10" x14ac:dyDescent="0.25">
      <c r="B16" s="180"/>
      <c r="C16" s="168"/>
      <c r="D16" s="168"/>
      <c r="E16" s="26"/>
      <c r="J16" s="543"/>
    </row>
    <row r="17" spans="2:11" x14ac:dyDescent="0.2">
      <c r="B17" s="180"/>
      <c r="C17" s="168"/>
      <c r="D17" s="168"/>
      <c r="E17" s="26"/>
      <c r="G17" s="902" t="str">
        <f>CONCATENATE("Projected Carryover Into ",E1+1,"")</f>
        <v>Projected Carryover Into 2024</v>
      </c>
      <c r="H17" s="909"/>
      <c r="I17" s="909"/>
      <c r="J17" s="913"/>
    </row>
    <row r="18" spans="2:11" x14ac:dyDescent="0.2">
      <c r="B18" s="180"/>
      <c r="C18" s="168"/>
      <c r="D18" s="168"/>
      <c r="E18" s="26"/>
      <c r="G18" s="561"/>
      <c r="H18" s="555"/>
      <c r="I18" s="555"/>
      <c r="J18" s="583"/>
    </row>
    <row r="19" spans="2:11" x14ac:dyDescent="0.2">
      <c r="B19" s="175" t="s">
        <v>26</v>
      </c>
      <c r="C19" s="168"/>
      <c r="D19" s="168"/>
      <c r="E19" s="26"/>
      <c r="G19" s="552">
        <f>D36</f>
        <v>0</v>
      </c>
      <c r="H19" s="553" t="str">
        <f>CONCATENATE("",E1-1," Ending Cash Balance (est.)")</f>
        <v>2022 Ending Cash Balance (est.)</v>
      </c>
      <c r="I19" s="554"/>
      <c r="J19" s="583"/>
    </row>
    <row r="20" spans="2:11" x14ac:dyDescent="0.2">
      <c r="B20" s="181" t="s">
        <v>193</v>
      </c>
      <c r="C20" s="168"/>
      <c r="D20" s="168"/>
      <c r="E20" s="673">
        <f>'NR Rebate'!E13*-1</f>
        <v>0</v>
      </c>
      <c r="G20" s="552">
        <f>E23</f>
        <v>0</v>
      </c>
      <c r="H20" s="555" t="str">
        <f>CONCATENATE("",E1," Non-AV Receipts (est.)")</f>
        <v>2023 Non-AV Receipts (est.)</v>
      </c>
      <c r="I20" s="554"/>
      <c r="J20" s="583"/>
    </row>
    <row r="21" spans="2:11" x14ac:dyDescent="0.2">
      <c r="B21" s="103" t="s">
        <v>192</v>
      </c>
      <c r="C21" s="168"/>
      <c r="D21" s="168"/>
      <c r="E21" s="26"/>
      <c r="G21" s="556">
        <f>IF(D41&gt;0,E40,E42)</f>
        <v>0</v>
      </c>
      <c r="H21" s="555" t="str">
        <f>CONCATENATE("",E1," Ad Valorem Tax (est.)")</f>
        <v>2023 Ad Valorem Tax (est.)</v>
      </c>
      <c r="I21" s="554"/>
      <c r="J21" s="583"/>
      <c r="K21" s="498" t="str">
        <f>IF(G21=E42,"","Note: Does not include Delinquent Taxes")</f>
        <v/>
      </c>
    </row>
    <row r="22" spans="2:11" x14ac:dyDescent="0.2">
      <c r="B22" s="167" t="s">
        <v>654</v>
      </c>
      <c r="C22" s="284" t="str">
        <f>IF(C23*0.1&lt;C21,"Exceed 10% Rule","")</f>
        <v/>
      </c>
      <c r="D22" s="284" t="str">
        <f>IF(D23*0.1&lt;D21,"Exceed 10% Rule","")</f>
        <v/>
      </c>
      <c r="E22" s="299" t="str">
        <f>IF(E23*0.1+E42&lt;E21,"Exceed 10% Rule","")</f>
        <v/>
      </c>
      <c r="G22" s="552">
        <f>SUM(G19:G21)</f>
        <v>0</v>
      </c>
      <c r="H22" s="555" t="str">
        <f>CONCATENATE("Total ",E1," Resources Available")</f>
        <v>Total 2023 Resources Available</v>
      </c>
      <c r="I22" s="554"/>
      <c r="J22" s="583"/>
    </row>
    <row r="23" spans="2:11" x14ac:dyDescent="0.2">
      <c r="B23" s="177" t="s">
        <v>27</v>
      </c>
      <c r="C23" s="285">
        <f>SUM(C8:C21)</f>
        <v>0</v>
      </c>
      <c r="D23" s="285">
        <f>SUM(D8:D21)</f>
        <v>0</v>
      </c>
      <c r="E23" s="198">
        <f>SUM(E8:E21)</f>
        <v>0</v>
      </c>
      <c r="G23" s="557"/>
      <c r="H23" s="555"/>
      <c r="I23" s="555"/>
      <c r="J23" s="583"/>
    </row>
    <row r="24" spans="2:11" x14ac:dyDescent="0.2">
      <c r="B24" s="177" t="s">
        <v>28</v>
      </c>
      <c r="C24" s="285">
        <f>C6+C23</f>
        <v>0</v>
      </c>
      <c r="D24" s="285">
        <f>D6+D23</f>
        <v>0</v>
      </c>
      <c r="E24" s="198">
        <f>E6+E23</f>
        <v>0</v>
      </c>
      <c r="G24" s="556">
        <f>ROUND(C35*0.05+C35,0)</f>
        <v>0</v>
      </c>
      <c r="H24" s="555" t="str">
        <f>CONCATENATE("Less ",E1-2," Expenditures + 5%")</f>
        <v>Less 2021 Expenditures + 5%</v>
      </c>
      <c r="I24" s="554"/>
      <c r="J24" s="583"/>
    </row>
    <row r="25" spans="2:11" x14ac:dyDescent="0.25">
      <c r="B25" s="95" t="s">
        <v>30</v>
      </c>
      <c r="C25" s="181"/>
      <c r="D25" s="181"/>
      <c r="E25" s="24"/>
      <c r="G25" s="576">
        <f>G22-G24</f>
        <v>0</v>
      </c>
      <c r="H25" s="577" t="str">
        <f>CONCATENATE("Projected ",E1+1," carryover (est.)")</f>
        <v>Projected 2024 carryover (est.)</v>
      </c>
      <c r="I25" s="558"/>
      <c r="J25" s="581"/>
    </row>
    <row r="26" spans="2:11" x14ac:dyDescent="0.25">
      <c r="B26" s="180"/>
      <c r="C26" s="168"/>
      <c r="D26" s="168"/>
      <c r="E26" s="26"/>
      <c r="G26" s="543"/>
      <c r="H26" s="543"/>
      <c r="I26" s="543"/>
      <c r="J26" s="543"/>
    </row>
    <row r="27" spans="2:11" x14ac:dyDescent="0.2">
      <c r="B27" s="180"/>
      <c r="C27" s="168"/>
      <c r="D27" s="168"/>
      <c r="E27" s="26"/>
      <c r="G27" s="888" t="s">
        <v>969</v>
      </c>
      <c r="H27" s="889"/>
      <c r="I27" s="889"/>
      <c r="J27" s="890"/>
    </row>
    <row r="28" spans="2:11" x14ac:dyDescent="0.2">
      <c r="B28" s="180"/>
      <c r="C28" s="168"/>
      <c r="D28" s="168"/>
      <c r="E28" s="26"/>
      <c r="G28" s="891"/>
      <c r="H28" s="892"/>
      <c r="I28" s="892"/>
      <c r="J28" s="893"/>
    </row>
    <row r="29" spans="2:11" x14ac:dyDescent="0.2">
      <c r="B29" s="180"/>
      <c r="C29" s="168"/>
      <c r="D29" s="168"/>
      <c r="E29" s="26"/>
      <c r="G29" s="757" t="str">
        <f>'Budget Hearing Notice'!H23</f>
        <v xml:space="preserve">  </v>
      </c>
      <c r="H29" s="758" t="str">
        <f>CONCATENATE("",E1," Estimated Fund Mill Rate")</f>
        <v>2023 Estimated Fund Mill Rate</v>
      </c>
      <c r="I29" s="759"/>
      <c r="J29" s="760"/>
    </row>
    <row r="30" spans="2:11" x14ac:dyDescent="0.2">
      <c r="B30" s="180"/>
      <c r="C30" s="168"/>
      <c r="D30" s="168"/>
      <c r="E30" s="26"/>
      <c r="G30" s="761" t="str">
        <f>'Budget Hearing Notice'!E22</f>
        <v xml:space="preserve">  </v>
      </c>
      <c r="H30" s="758" t="str">
        <f>CONCATENATE("",E1-1," Fund Mill Rate")</f>
        <v>2022 Fund Mill Rate</v>
      </c>
      <c r="I30" s="759"/>
      <c r="J30" s="760"/>
    </row>
    <row r="31" spans="2:11" x14ac:dyDescent="0.2">
      <c r="B31" s="180"/>
      <c r="C31" s="168"/>
      <c r="D31" s="168"/>
      <c r="E31" s="26"/>
      <c r="G31" s="762">
        <f>inputOth!D20</f>
        <v>34.689</v>
      </c>
      <c r="H31" s="763" t="s">
        <v>970</v>
      </c>
      <c r="I31" s="759"/>
      <c r="J31" s="760"/>
    </row>
    <row r="32" spans="2:11" x14ac:dyDescent="0.2">
      <c r="B32" s="181" t="str">
        <f>CONCATENATE("Cash Forward (",E1," column)")</f>
        <v>Cash Forward (2023 column)</v>
      </c>
      <c r="C32" s="168"/>
      <c r="D32" s="168"/>
      <c r="E32" s="26"/>
      <c r="G32" s="757">
        <f>'Budget Hearing Notice'!H43</f>
        <v>29.513999999999999</v>
      </c>
      <c r="H32" s="758" t="str">
        <f>CONCATENATE(E1," Estimated Total Mill Rate")</f>
        <v>2023 Estimated Total Mill Rate</v>
      </c>
      <c r="I32" s="759"/>
      <c r="J32" s="760"/>
    </row>
    <row r="33" spans="2:10" x14ac:dyDescent="0.2">
      <c r="B33" s="181" t="s">
        <v>192</v>
      </c>
      <c r="C33" s="168"/>
      <c r="D33" s="168"/>
      <c r="E33" s="26"/>
      <c r="G33" s="764">
        <f>'Budget Hearing Notice'!E43</f>
        <v>38.04</v>
      </c>
      <c r="H33" s="758" t="str">
        <f>CONCATENATE(E1-1," Total Mill Rate")</f>
        <v>2022 Total Mill Rate</v>
      </c>
      <c r="I33" s="759"/>
      <c r="J33" s="760"/>
    </row>
    <row r="34" spans="2:10" x14ac:dyDescent="0.2">
      <c r="B34" s="181" t="s">
        <v>655</v>
      </c>
      <c r="C34" s="284" t="str">
        <f>IF(C35*0.1&lt;C33,"Exceed 10% Rule","")</f>
        <v/>
      </c>
      <c r="D34" s="284" t="str">
        <f>IF(D35*0.1&lt;D33,"Exceed 10% Rule","")</f>
        <v/>
      </c>
      <c r="E34" s="299" t="str">
        <f>IF(E35*0.1&lt;E33,"Exceed 10% Rule","")</f>
        <v/>
      </c>
      <c r="G34" s="765"/>
      <c r="H34" s="766"/>
      <c r="I34" s="766"/>
      <c r="J34" s="767"/>
    </row>
    <row r="35" spans="2:10" x14ac:dyDescent="0.2">
      <c r="B35" s="177" t="s">
        <v>34</v>
      </c>
      <c r="C35" s="285">
        <f>SUM(C26:C33)</f>
        <v>0</v>
      </c>
      <c r="D35" s="285">
        <f>SUM(D26:D33)</f>
        <v>0</v>
      </c>
      <c r="E35" s="198">
        <f>SUM(E26:E33)</f>
        <v>0</v>
      </c>
      <c r="G35" s="894" t="s">
        <v>971</v>
      </c>
      <c r="H35" s="895"/>
      <c r="I35" s="895"/>
      <c r="J35" s="898" t="str">
        <f>IF(G32&gt;G31, "Yes", "No")</f>
        <v>No</v>
      </c>
    </row>
    <row r="36" spans="2:10" x14ac:dyDescent="0.2">
      <c r="B36" s="95" t="s">
        <v>100</v>
      </c>
      <c r="C36" s="282">
        <f>C24-C35</f>
        <v>0</v>
      </c>
      <c r="D36" s="282">
        <f>D24-D35</f>
        <v>0</v>
      </c>
      <c r="E36" s="193" t="s">
        <v>10</v>
      </c>
      <c r="G36" s="896"/>
      <c r="H36" s="897"/>
      <c r="I36" s="897"/>
      <c r="J36" s="899"/>
    </row>
    <row r="37" spans="2:10" x14ac:dyDescent="0.2">
      <c r="B37" s="110" t="str">
        <f>CONCATENATE("",E1-2,"/",E1-1,"/",E1," Budget Authority Amount:")</f>
        <v>2021/2022/2023 Budget Authority Amount:</v>
      </c>
      <c r="C37" s="428">
        <f>inputOth!B73</f>
        <v>0</v>
      </c>
      <c r="D37" s="591">
        <f>inputPrYr!D27</f>
        <v>0</v>
      </c>
      <c r="E37" s="139">
        <f>E35</f>
        <v>0</v>
      </c>
      <c r="F37" s="183"/>
      <c r="G37" s="900" t="str">
        <f>IF(J35="Yes", "Follow procedure prescribed by KSA 79-2988 to exceed the Revenue Neutral Rate.", " ")</f>
        <v xml:space="preserve"> </v>
      </c>
      <c r="H37" s="900"/>
      <c r="I37" s="900"/>
      <c r="J37" s="900"/>
    </row>
    <row r="38" spans="2:10" x14ac:dyDescent="0.2">
      <c r="B38" s="83"/>
      <c r="C38" s="881" t="s">
        <v>514</v>
      </c>
      <c r="D38" s="882"/>
      <c r="E38" s="26"/>
      <c r="F38" s="586" t="str">
        <f>IF(E35/0.95-E35&lt;E38,"Exceeds 5%","")</f>
        <v/>
      </c>
      <c r="G38" s="901"/>
      <c r="H38" s="901"/>
      <c r="I38" s="901"/>
      <c r="J38" s="901"/>
    </row>
    <row r="39" spans="2:10" x14ac:dyDescent="0.2">
      <c r="B39" s="301" t="str">
        <f>CONCATENATE(C97,"     ",D97)</f>
        <v xml:space="preserve">     </v>
      </c>
      <c r="C39" s="883" t="s">
        <v>515</v>
      </c>
      <c r="D39" s="884"/>
      <c r="E39" s="139">
        <f>E35+E38</f>
        <v>0</v>
      </c>
      <c r="G39" s="901"/>
      <c r="H39" s="901"/>
      <c r="I39" s="901"/>
      <c r="J39" s="901"/>
    </row>
    <row r="40" spans="2:10" x14ac:dyDescent="0.2">
      <c r="B40" s="301" t="str">
        <f>CONCATENATE(C98,"     ",D98)</f>
        <v xml:space="preserve">     </v>
      </c>
      <c r="C40" s="184"/>
      <c r="D40" s="108" t="s">
        <v>35</v>
      </c>
      <c r="E40" s="139">
        <f>IF(E39-E24&gt;0,E39-E24,0)</f>
        <v>0</v>
      </c>
    </row>
    <row r="41" spans="2:10" x14ac:dyDescent="0.2">
      <c r="B41" s="108"/>
      <c r="C41" s="289" t="s">
        <v>516</v>
      </c>
      <c r="D41" s="497">
        <f>inputOth!$E$52</f>
        <v>0.03</v>
      </c>
      <c r="E41" s="139">
        <f>ROUND(IF(D41&gt;0,(E40*D41),0),0)</f>
        <v>0</v>
      </c>
    </row>
    <row r="42" spans="2:10" ht="16.5" thickBot="1" x14ac:dyDescent="0.25">
      <c r="B42" s="6"/>
      <c r="C42" s="874" t="str">
        <f>CONCATENATE("Amount of  ",$E$1-1," Ad Valorem Tax")</f>
        <v>Amount of  2022 Ad Valorem Tax</v>
      </c>
      <c r="D42" s="885"/>
      <c r="E42" s="199">
        <f>E40+E41</f>
        <v>0</v>
      </c>
    </row>
    <row r="43" spans="2:10" ht="16.5" thickTop="1" x14ac:dyDescent="0.2">
      <c r="B43" s="6"/>
      <c r="C43" s="906"/>
      <c r="D43" s="906"/>
      <c r="E43" s="6"/>
    </row>
    <row r="44" spans="2:10" x14ac:dyDescent="0.2">
      <c r="B44" s="6"/>
      <c r="C44" s="6"/>
      <c r="D44" s="6"/>
      <c r="E44" s="6"/>
    </row>
    <row r="45" spans="2:10" x14ac:dyDescent="0.2">
      <c r="B45" s="9"/>
      <c r="C45" s="197"/>
      <c r="D45" s="197"/>
      <c r="E45" s="197"/>
    </row>
    <row r="46" spans="2:10" x14ac:dyDescent="0.2">
      <c r="B46" s="9" t="s">
        <v>20</v>
      </c>
      <c r="C46" s="539" t="str">
        <f t="shared" ref="C46:E47" si="0">C4</f>
        <v xml:space="preserve">Prior Year </v>
      </c>
      <c r="D46" s="540" t="str">
        <f t="shared" si="0"/>
        <v xml:space="preserve">Current Year </v>
      </c>
      <c r="E46" s="89" t="str">
        <f t="shared" si="0"/>
        <v xml:space="preserve">Proposed Budget </v>
      </c>
    </row>
    <row r="47" spans="2:10" x14ac:dyDescent="0.2">
      <c r="B47" s="298">
        <f>inputPrYr!B28</f>
        <v>0</v>
      </c>
      <c r="C47" s="283" t="str">
        <f t="shared" si="0"/>
        <v>Actual for 2021</v>
      </c>
      <c r="D47" s="283" t="str">
        <f t="shared" si="0"/>
        <v>Estimate for 2022</v>
      </c>
      <c r="E47" s="124" t="str">
        <f t="shared" si="0"/>
        <v>Year for 2023</v>
      </c>
    </row>
    <row r="48" spans="2:10" x14ac:dyDescent="0.2">
      <c r="B48" s="167" t="s">
        <v>99</v>
      </c>
      <c r="C48" s="168"/>
      <c r="D48" s="282">
        <f>C76</f>
        <v>0</v>
      </c>
      <c r="E48" s="139">
        <f>D76</f>
        <v>0</v>
      </c>
    </row>
    <row r="49" spans="2:11" x14ac:dyDescent="0.2">
      <c r="B49" s="170" t="s">
        <v>101</v>
      </c>
      <c r="C49" s="103"/>
      <c r="D49" s="103"/>
      <c r="E49" s="41"/>
    </row>
    <row r="50" spans="2:11" x14ac:dyDescent="0.2">
      <c r="B50" s="95" t="s">
        <v>21</v>
      </c>
      <c r="C50" s="168"/>
      <c r="D50" s="282">
        <f>IF(inputPrYr!H21&gt;0,inputPrYr!G31,inputPrYr!E28)</f>
        <v>0</v>
      </c>
      <c r="E50" s="193" t="s">
        <v>10</v>
      </c>
    </row>
    <row r="51" spans="2:11" x14ac:dyDescent="0.2">
      <c r="B51" s="95" t="s">
        <v>22</v>
      </c>
      <c r="C51" s="168"/>
      <c r="D51" s="168"/>
      <c r="E51" s="26"/>
    </row>
    <row r="52" spans="2:11" x14ac:dyDescent="0.2">
      <c r="B52" s="95" t="s">
        <v>23</v>
      </c>
      <c r="C52" s="168"/>
      <c r="D52" s="168"/>
      <c r="E52" s="139" t="str">
        <f>Mvalloc!D15</f>
        <v xml:space="preserve">  </v>
      </c>
      <c r="G52" s="902" t="str">
        <f>CONCATENATE("Desired Carryover Into ",E1+1,"")</f>
        <v>Desired Carryover Into 2024</v>
      </c>
      <c r="H52" s="886"/>
      <c r="I52" s="886"/>
      <c r="J52" s="887"/>
    </row>
    <row r="53" spans="2:11" x14ac:dyDescent="0.2">
      <c r="B53" s="95" t="s">
        <v>24</v>
      </c>
      <c r="C53" s="168"/>
      <c r="D53" s="168"/>
      <c r="E53" s="139" t="str">
        <f>Mvalloc!E15</f>
        <v xml:space="preserve"> </v>
      </c>
      <c r="G53" s="561"/>
      <c r="H53" s="548"/>
      <c r="I53" s="555"/>
      <c r="J53" s="562"/>
    </row>
    <row r="54" spans="2:11" x14ac:dyDescent="0.2">
      <c r="B54" s="103" t="s">
        <v>91</v>
      </c>
      <c r="C54" s="168"/>
      <c r="D54" s="168"/>
      <c r="E54" s="139" t="str">
        <f>Mvalloc!F15</f>
        <v xml:space="preserve"> </v>
      </c>
      <c r="G54" s="560" t="s">
        <v>522</v>
      </c>
      <c r="H54" s="555"/>
      <c r="I54" s="555"/>
      <c r="J54" s="549">
        <v>0</v>
      </c>
    </row>
    <row r="55" spans="2:11" x14ac:dyDescent="0.2">
      <c r="B55" s="646" t="s">
        <v>819</v>
      </c>
      <c r="C55" s="168"/>
      <c r="D55" s="168"/>
      <c r="E55" s="139" t="str">
        <f>Mvalloc!G15</f>
        <v xml:space="preserve"> </v>
      </c>
      <c r="G55" s="561" t="s">
        <v>523</v>
      </c>
      <c r="H55" s="548"/>
      <c r="I55" s="548"/>
      <c r="J55" s="575" t="str">
        <f>IF(J54=0,"",ROUND((J54+E82-G67)/inputOth!E7*1000,3)-G72)</f>
        <v/>
      </c>
    </row>
    <row r="56" spans="2:11" x14ac:dyDescent="0.2">
      <c r="B56" s="646" t="s">
        <v>820</v>
      </c>
      <c r="C56" s="168"/>
      <c r="D56" s="168"/>
      <c r="E56" s="139" t="str">
        <f>Mvalloc!H15</f>
        <v xml:space="preserve"> </v>
      </c>
      <c r="G56" s="573" t="str">
        <f>CONCATENATE("",E1," Tot Exp/Non-Appr Must Be:")</f>
        <v>2023 Tot Exp/Non-Appr Must Be:</v>
      </c>
      <c r="H56" s="571"/>
      <c r="I56" s="572"/>
      <c r="J56" s="570">
        <f>IF(J54&gt;0,IF(E79&lt;E64,IF(J54=G67,E79,((J54-G67)*(1-D81))+E64),E79+(J54-G67)),0)</f>
        <v>0</v>
      </c>
    </row>
    <row r="57" spans="2:11" x14ac:dyDescent="0.2">
      <c r="B57" s="26"/>
      <c r="C57" s="168"/>
      <c r="D57" s="168"/>
      <c r="E57" s="26"/>
      <c r="G57" s="495" t="s">
        <v>670</v>
      </c>
      <c r="H57" s="578"/>
      <c r="I57" s="578"/>
      <c r="J57" s="574">
        <f>IF(J54&gt;0,J56-E79,0)</f>
        <v>0</v>
      </c>
    </row>
    <row r="58" spans="2:11" x14ac:dyDescent="0.25">
      <c r="B58" s="180"/>
      <c r="C58" s="168"/>
      <c r="D58" s="168"/>
      <c r="E58" s="26"/>
      <c r="J58" s="543"/>
    </row>
    <row r="59" spans="2:11" x14ac:dyDescent="0.2">
      <c r="B59" s="175" t="s">
        <v>26</v>
      </c>
      <c r="C59" s="168"/>
      <c r="D59" s="168"/>
      <c r="E59" s="26"/>
      <c r="G59" s="902" t="str">
        <f>CONCATENATE("Projected Carryover Into ",E1+1,"")</f>
        <v>Projected Carryover Into 2024</v>
      </c>
      <c r="H59" s="912"/>
      <c r="I59" s="912"/>
      <c r="J59" s="913"/>
    </row>
    <row r="60" spans="2:11" x14ac:dyDescent="0.2">
      <c r="B60" s="181" t="s">
        <v>193</v>
      </c>
      <c r="C60" s="168"/>
      <c r="D60" s="168"/>
      <c r="E60" s="673">
        <f>'NR Rebate'!E14*-1</f>
        <v>0</v>
      </c>
      <c r="G60" s="550"/>
      <c r="H60" s="548"/>
      <c r="I60" s="548"/>
      <c r="J60" s="583"/>
    </row>
    <row r="61" spans="2:11" x14ac:dyDescent="0.2">
      <c r="B61" s="103" t="s">
        <v>192</v>
      </c>
      <c r="C61" s="168"/>
      <c r="D61" s="168"/>
      <c r="E61" s="26"/>
      <c r="G61" s="552">
        <f>D76</f>
        <v>0</v>
      </c>
      <c r="H61" s="553" t="str">
        <f>CONCATENATE("",E1-1," Ending Cash Balance (est.)")</f>
        <v>2022 Ending Cash Balance (est.)</v>
      </c>
      <c r="I61" s="554"/>
      <c r="J61" s="583"/>
    </row>
    <row r="62" spans="2:11" x14ac:dyDescent="0.2">
      <c r="B62" s="167" t="s">
        <v>654</v>
      </c>
      <c r="C62" s="284" t="str">
        <f>IF(C63*0.1&lt;C61,"Exceed 10% Rule","")</f>
        <v/>
      </c>
      <c r="D62" s="284" t="str">
        <f>IF(D63*0.1&lt;D61,"Exceed 10% Rule","")</f>
        <v/>
      </c>
      <c r="E62" s="299" t="str">
        <f>IF(E63*0.1+E82&lt;E61,"Exceed 10% Rule","")</f>
        <v/>
      </c>
      <c r="G62" s="552">
        <f>E63</f>
        <v>0</v>
      </c>
      <c r="H62" s="555" t="str">
        <f>CONCATENATE("",E1," Non-AV Receipts (est.)")</f>
        <v>2023 Non-AV Receipts (est.)</v>
      </c>
      <c r="I62" s="554"/>
      <c r="J62" s="583"/>
    </row>
    <row r="63" spans="2:11" x14ac:dyDescent="0.2">
      <c r="B63" s="177" t="s">
        <v>27</v>
      </c>
      <c r="C63" s="285">
        <f>SUM(C50:C61)</f>
        <v>0</v>
      </c>
      <c r="D63" s="285">
        <f>SUM(D50:D61)</f>
        <v>0</v>
      </c>
      <c r="E63" s="198">
        <f>SUM(E50:E61)</f>
        <v>0</v>
      </c>
      <c r="G63" s="556">
        <f>IF(D81&gt;0,E80,E82)</f>
        <v>0</v>
      </c>
      <c r="H63" s="555" t="str">
        <f>CONCATENATE("",E1," Ad Valorem Tax (est.)")</f>
        <v>2023 Ad Valorem Tax (est.)</v>
      </c>
      <c r="I63" s="554"/>
      <c r="J63" s="583"/>
      <c r="K63" s="498" t="str">
        <f>IF(G63=E82,"","Note: Does not include Delinquent Taxes")</f>
        <v/>
      </c>
    </row>
    <row r="64" spans="2:11" x14ac:dyDescent="0.2">
      <c r="B64" s="177" t="s">
        <v>28</v>
      </c>
      <c r="C64" s="285">
        <f>C48+C63</f>
        <v>0</v>
      </c>
      <c r="D64" s="285">
        <f>D48+D63</f>
        <v>0</v>
      </c>
      <c r="E64" s="198">
        <f>E48+E63</f>
        <v>0</v>
      </c>
      <c r="G64" s="563">
        <f>SUM(G61:G63)</f>
        <v>0</v>
      </c>
      <c r="H64" s="555" t="str">
        <f>CONCATENATE("Total ",E1," Resources Available")</f>
        <v>Total 2023 Resources Available</v>
      </c>
      <c r="I64" s="551"/>
      <c r="J64" s="583"/>
    </row>
    <row r="65" spans="2:10" x14ac:dyDescent="0.2">
      <c r="B65" s="95" t="s">
        <v>30</v>
      </c>
      <c r="C65" s="181"/>
      <c r="D65" s="181"/>
      <c r="E65" s="24"/>
      <c r="G65" s="566"/>
      <c r="H65" s="564"/>
      <c r="I65" s="548"/>
      <c r="J65" s="583"/>
    </row>
    <row r="66" spans="2:10" x14ac:dyDescent="0.2">
      <c r="B66" s="180"/>
      <c r="C66" s="168"/>
      <c r="D66" s="168"/>
      <c r="E66" s="26"/>
      <c r="G66" s="565">
        <f>ROUND(C75*0.05+C75,0)</f>
        <v>0</v>
      </c>
      <c r="H66" s="564" t="str">
        <f>CONCATENATE("Less ",E1-2," Expenditures + 5%")</f>
        <v>Less 2021 Expenditures + 5%</v>
      </c>
      <c r="I66" s="551"/>
      <c r="J66" s="583"/>
    </row>
    <row r="67" spans="2:10" x14ac:dyDescent="0.25">
      <c r="B67" s="180"/>
      <c r="C67" s="168"/>
      <c r="D67" s="168"/>
      <c r="E67" s="26"/>
      <c r="G67" s="567">
        <f>G64-G66</f>
        <v>0</v>
      </c>
      <c r="H67" s="568" t="str">
        <f>CONCATENATE("Projected ",E1+1," carryover (est.)")</f>
        <v>Projected 2024 carryover (est.)</v>
      </c>
      <c r="I67" s="559"/>
      <c r="J67" s="581"/>
    </row>
    <row r="68" spans="2:10" x14ac:dyDescent="0.25">
      <c r="B68" s="180"/>
      <c r="C68" s="168"/>
      <c r="D68" s="168"/>
      <c r="E68" s="26"/>
      <c r="G68" s="543"/>
      <c r="H68" s="543"/>
      <c r="I68" s="543"/>
    </row>
    <row r="69" spans="2:10" x14ac:dyDescent="0.2">
      <c r="B69" s="180"/>
      <c r="C69" s="168"/>
      <c r="D69" s="168"/>
      <c r="E69" s="26"/>
      <c r="G69" s="888" t="s">
        <v>969</v>
      </c>
      <c r="H69" s="889"/>
      <c r="I69" s="889"/>
      <c r="J69" s="890"/>
    </row>
    <row r="70" spans="2:10" x14ac:dyDescent="0.2">
      <c r="B70" s="180"/>
      <c r="C70" s="168"/>
      <c r="D70" s="168"/>
      <c r="E70" s="26"/>
      <c r="G70" s="891"/>
      <c r="H70" s="892"/>
      <c r="I70" s="892"/>
      <c r="J70" s="893"/>
    </row>
    <row r="71" spans="2:10" x14ac:dyDescent="0.2">
      <c r="B71" s="180"/>
      <c r="C71" s="168"/>
      <c r="D71" s="168"/>
      <c r="E71" s="26"/>
      <c r="G71" s="757" t="str">
        <f>'Budget Hearing Notice'!H24</f>
        <v xml:space="preserve">  </v>
      </c>
      <c r="H71" s="758" t="str">
        <f>CONCATENATE("",E1," Estimated Fund Mill Rate")</f>
        <v>2023 Estimated Fund Mill Rate</v>
      </c>
      <c r="I71" s="759"/>
      <c r="J71" s="760"/>
    </row>
    <row r="72" spans="2:10" x14ac:dyDescent="0.2">
      <c r="B72" s="181" t="str">
        <f>CONCATENATE("Cash Forward (",E1," column)")</f>
        <v>Cash Forward (2023 column)</v>
      </c>
      <c r="C72" s="168"/>
      <c r="D72" s="168"/>
      <c r="E72" s="26"/>
      <c r="G72" s="761" t="str">
        <f>'Budget Hearing Notice'!E24</f>
        <v xml:space="preserve">  </v>
      </c>
      <c r="H72" s="758" t="str">
        <f>CONCATENATE("",E1-1," Fund Mill Rate")</f>
        <v>2022 Fund Mill Rate</v>
      </c>
      <c r="I72" s="759"/>
      <c r="J72" s="760"/>
    </row>
    <row r="73" spans="2:10" x14ac:dyDescent="0.2">
      <c r="B73" s="181" t="s">
        <v>192</v>
      </c>
      <c r="C73" s="168"/>
      <c r="D73" s="168"/>
      <c r="E73" s="26"/>
      <c r="G73" s="762">
        <f>inputOth!D20</f>
        <v>34.689</v>
      </c>
      <c r="H73" s="763" t="s">
        <v>970</v>
      </c>
      <c r="I73" s="759"/>
      <c r="J73" s="760"/>
    </row>
    <row r="74" spans="2:10" x14ac:dyDescent="0.2">
      <c r="B74" s="181" t="s">
        <v>655</v>
      </c>
      <c r="C74" s="284" t="str">
        <f>IF(C75*0.1&lt;C73,"Exceed 10% Rule","")</f>
        <v/>
      </c>
      <c r="D74" s="284" t="str">
        <f>IF(D75*0.1&lt;D73,"Exceed 10% Rule","")</f>
        <v/>
      </c>
      <c r="E74" s="299" t="str">
        <f>IF(E75*0.1&lt;E73,"Exceed 10% Rule","")</f>
        <v/>
      </c>
      <c r="G74" s="757">
        <f>'Budget Hearing Notice'!H43</f>
        <v>29.513999999999999</v>
      </c>
      <c r="H74" s="758" t="str">
        <f>CONCATENATE(E1," Estimated Total Mill Rate")</f>
        <v>2023 Estimated Total Mill Rate</v>
      </c>
      <c r="I74" s="759"/>
      <c r="J74" s="760"/>
    </row>
    <row r="75" spans="2:10" x14ac:dyDescent="0.2">
      <c r="B75" s="177" t="s">
        <v>34</v>
      </c>
      <c r="C75" s="285">
        <f>SUM(C66:C73)</f>
        <v>0</v>
      </c>
      <c r="D75" s="285">
        <f>SUM(D66:D73)</f>
        <v>0</v>
      </c>
      <c r="E75" s="198">
        <f>SUM(E66:E73)</f>
        <v>0</v>
      </c>
      <c r="G75" s="764">
        <f>'Budget Hearing Notice'!E43</f>
        <v>38.04</v>
      </c>
      <c r="H75" s="758" t="str">
        <f>CONCATENATE(E1-1," Total Mill Rate")</f>
        <v>2022 Total Mill Rate</v>
      </c>
      <c r="I75" s="759"/>
      <c r="J75" s="760"/>
    </row>
    <row r="76" spans="2:10" x14ac:dyDescent="0.2">
      <c r="B76" s="95" t="s">
        <v>100</v>
      </c>
      <c r="C76" s="282">
        <f>C64-C75</f>
        <v>0</v>
      </c>
      <c r="D76" s="282">
        <f>D64-D75</f>
        <v>0</v>
      </c>
      <c r="E76" s="193" t="s">
        <v>10</v>
      </c>
      <c r="G76" s="765"/>
      <c r="H76" s="766"/>
      <c r="I76" s="766"/>
      <c r="J76" s="767"/>
    </row>
    <row r="77" spans="2:10" x14ac:dyDescent="0.2">
      <c r="B77" s="110" t="str">
        <f>CONCATENATE("",E1-2,"/",E1-1,"/",E1," Budget Authority Amount:")</f>
        <v>2021/2022/2023 Budget Authority Amount:</v>
      </c>
      <c r="C77" s="428">
        <f>inputOth!B74</f>
        <v>0</v>
      </c>
      <c r="D77" s="591">
        <f>inputPrYr!D28</f>
        <v>0</v>
      </c>
      <c r="E77" s="139">
        <f>E75</f>
        <v>0</v>
      </c>
      <c r="G77" s="894" t="s">
        <v>971</v>
      </c>
      <c r="H77" s="895"/>
      <c r="I77" s="895"/>
      <c r="J77" s="898" t="str">
        <f>IF(G74&gt;G73, "Yes", "No")</f>
        <v>No</v>
      </c>
    </row>
    <row r="78" spans="2:10" ht="15.75" customHeight="1" x14ac:dyDescent="0.2">
      <c r="B78" s="83"/>
      <c r="C78" s="881" t="s">
        <v>514</v>
      </c>
      <c r="D78" s="882"/>
      <c r="E78" s="26"/>
      <c r="G78" s="896"/>
      <c r="H78" s="897"/>
      <c r="I78" s="897"/>
      <c r="J78" s="899"/>
    </row>
    <row r="79" spans="2:10" x14ac:dyDescent="0.2">
      <c r="B79" s="301" t="str">
        <f>CONCATENATE(C99,"     ",D99)</f>
        <v xml:space="preserve">     </v>
      </c>
      <c r="C79" s="883" t="s">
        <v>515</v>
      </c>
      <c r="D79" s="884"/>
      <c r="E79" s="139">
        <f>E75+E78</f>
        <v>0</v>
      </c>
      <c r="F79" s="183"/>
      <c r="G79" s="900" t="str">
        <f>IF(J77="Yes", "Follow procedure prescribed by KSA 79-2988 to exceed the Revenue Neutral Rate.", " ")</f>
        <v xml:space="preserve"> </v>
      </c>
      <c r="H79" s="900"/>
      <c r="I79" s="900"/>
      <c r="J79" s="900"/>
    </row>
    <row r="80" spans="2:10" x14ac:dyDescent="0.2">
      <c r="B80" s="301" t="str">
        <f>CONCATENATE(C100,"     ",D100)</f>
        <v xml:space="preserve">     </v>
      </c>
      <c r="C80" s="184"/>
      <c r="D80" s="108" t="s">
        <v>35</v>
      </c>
      <c r="E80" s="139">
        <f>IF(E79-E64&gt;0,E79-E64,0)</f>
        <v>0</v>
      </c>
      <c r="F80" s="586" t="str">
        <f>IF(E75/0.95-E75&lt;E78,"Exceeds 5%","")</f>
        <v/>
      </c>
      <c r="G80" s="901"/>
      <c r="H80" s="901"/>
      <c r="I80" s="901"/>
      <c r="J80" s="901"/>
    </row>
    <row r="81" spans="2:10" x14ac:dyDescent="0.2">
      <c r="B81" s="108"/>
      <c r="C81" s="289" t="s">
        <v>516</v>
      </c>
      <c r="D81" s="497">
        <f>inputOth!$E$52</f>
        <v>0.03</v>
      </c>
      <c r="E81" s="139">
        <f>ROUND(IF(D81&gt;0,(E80*D81),0),0)</f>
        <v>0</v>
      </c>
      <c r="G81" s="901"/>
      <c r="H81" s="901"/>
      <c r="I81" s="901"/>
      <c r="J81" s="901"/>
    </row>
    <row r="82" spans="2:10" ht="16.5" thickBot="1" x14ac:dyDescent="0.25">
      <c r="B82" s="6"/>
      <c r="C82" s="874" t="str">
        <f>CONCATENATE("Amount of  ",$E$1-1," Ad Valorem Tax")</f>
        <v>Amount of  2022 Ad Valorem Tax</v>
      </c>
      <c r="D82" s="885"/>
      <c r="E82" s="199">
        <f>E80+E81</f>
        <v>0</v>
      </c>
    </row>
    <row r="83" spans="2:10" ht="16.5" thickTop="1" x14ac:dyDescent="0.2">
      <c r="B83" s="6"/>
      <c r="C83" s="906"/>
      <c r="D83" s="906"/>
      <c r="E83" s="6"/>
    </row>
    <row r="84" spans="2:10" x14ac:dyDescent="0.2">
      <c r="B84" s="727" t="s">
        <v>839</v>
      </c>
      <c r="C84" s="693"/>
      <c r="D84" s="693"/>
      <c r="E84" s="694"/>
    </row>
    <row r="85" spans="2:10" x14ac:dyDescent="0.2">
      <c r="B85" s="38"/>
      <c r="C85" s="290"/>
      <c r="D85" s="290"/>
      <c r="E85" s="546"/>
    </row>
    <row r="86" spans="2:10" ht="15.75" customHeight="1" x14ac:dyDescent="0.2">
      <c r="B86" s="462"/>
      <c r="C86" s="31"/>
      <c r="D86" s="31"/>
      <c r="E86" s="45"/>
    </row>
    <row r="87" spans="2:10" ht="15.75" customHeight="1" x14ac:dyDescent="0.2">
      <c r="B87" s="83" t="s">
        <v>37</v>
      </c>
      <c r="C87" s="600">
        <v>10</v>
      </c>
      <c r="D87" s="6"/>
      <c r="E87" s="6"/>
    </row>
    <row r="97" spans="3:4" hidden="1" x14ac:dyDescent="0.2">
      <c r="C97" s="302" t="str">
        <f>IF(C35&gt;C37,"See Tab A","")</f>
        <v/>
      </c>
      <c r="D97" s="302" t="str">
        <f>IF(D35&gt;D37,"See Tab C","")</f>
        <v/>
      </c>
    </row>
    <row r="98" spans="3:4" hidden="1" x14ac:dyDescent="0.2">
      <c r="C98" s="302" t="str">
        <f>IF(C36&lt;0,"See Tab B","")</f>
        <v/>
      </c>
      <c r="D98" s="302" t="str">
        <f>IF(D36&lt;0,"See Tab D","")</f>
        <v/>
      </c>
    </row>
    <row r="99" spans="3:4" hidden="1" x14ac:dyDescent="0.2">
      <c r="C99" s="302" t="str">
        <f>IF(C75&gt;C77,"See Tab A","")</f>
        <v/>
      </c>
      <c r="D99" s="302" t="str">
        <f>IF(D75&gt;D77,"See Tab C","")</f>
        <v/>
      </c>
    </row>
    <row r="100" spans="3:4" hidden="1" x14ac:dyDescent="0.2">
      <c r="C100" s="302" t="str">
        <f>IF(C76&lt;0,"See Tab B","")</f>
        <v/>
      </c>
      <c r="D100" s="302" t="str">
        <f>IF(D76&lt;0,"See Tab D","")</f>
        <v/>
      </c>
    </row>
  </sheetData>
  <sheetProtection sheet="1" objects="1" scenarios="1"/>
  <mergeCells count="20">
    <mergeCell ref="G69:J70"/>
    <mergeCell ref="G77:I78"/>
    <mergeCell ref="J77:J78"/>
    <mergeCell ref="G79:J81"/>
    <mergeCell ref="G10:J10"/>
    <mergeCell ref="G17:J17"/>
    <mergeCell ref="G52:J52"/>
    <mergeCell ref="G59:J59"/>
    <mergeCell ref="G27:J28"/>
    <mergeCell ref="G35:I36"/>
    <mergeCell ref="J35:J36"/>
    <mergeCell ref="G37:J39"/>
    <mergeCell ref="C83:D83"/>
    <mergeCell ref="C43:D43"/>
    <mergeCell ref="C78:D78"/>
    <mergeCell ref="C79:D79"/>
    <mergeCell ref="C38:D38"/>
    <mergeCell ref="C39:D39"/>
    <mergeCell ref="C42:D42"/>
    <mergeCell ref="C82:D82"/>
  </mergeCells>
  <phoneticPr fontId="0" type="noConversion"/>
  <conditionalFormatting sqref="E33">
    <cfRule type="cellIs" dxfId="196" priority="5" stopIfTrue="1" operator="greaterThan">
      <formula>$E$35*0.1</formula>
    </cfRule>
  </conditionalFormatting>
  <conditionalFormatting sqref="E38">
    <cfRule type="cellIs" dxfId="195" priority="6" stopIfTrue="1" operator="greaterThan">
      <formula>$E$35/0.95-$E$35</formula>
    </cfRule>
  </conditionalFormatting>
  <conditionalFormatting sqref="E73">
    <cfRule type="cellIs" dxfId="194" priority="7" stopIfTrue="1" operator="greaterThan">
      <formula>$E$75*0.1</formula>
    </cfRule>
  </conditionalFormatting>
  <conditionalFormatting sqref="E78">
    <cfRule type="cellIs" dxfId="193" priority="8" stopIfTrue="1" operator="greaterThan">
      <formula>$E$75/0.95-$E$75</formula>
    </cfRule>
  </conditionalFormatting>
  <conditionalFormatting sqref="D35">
    <cfRule type="cellIs" dxfId="192" priority="9" stopIfTrue="1" operator="greaterThan">
      <formula>$D$37</formula>
    </cfRule>
  </conditionalFormatting>
  <conditionalFormatting sqref="C35">
    <cfRule type="cellIs" dxfId="191" priority="10" stopIfTrue="1" operator="greaterThan">
      <formula>$C$37</formula>
    </cfRule>
  </conditionalFormatting>
  <conditionalFormatting sqref="C36 C76">
    <cfRule type="cellIs" dxfId="190" priority="11" stopIfTrue="1" operator="lessThan">
      <formula>0</formula>
    </cfRule>
  </conditionalFormatting>
  <conditionalFormatting sqref="D75">
    <cfRule type="cellIs" dxfId="189" priority="12" stopIfTrue="1" operator="greaterThan">
      <formula>$D$77</formula>
    </cfRule>
  </conditionalFormatting>
  <conditionalFormatting sqref="C75">
    <cfRule type="cellIs" dxfId="188" priority="13" stopIfTrue="1" operator="greaterThan">
      <formula>$C$77</formula>
    </cfRule>
  </conditionalFormatting>
  <conditionalFormatting sqref="C33">
    <cfRule type="cellIs" dxfId="187" priority="14" stopIfTrue="1" operator="greaterThan">
      <formula>$C$35*0.1</formula>
    </cfRule>
  </conditionalFormatting>
  <conditionalFormatting sqref="D33">
    <cfRule type="cellIs" dxfId="186" priority="15" stopIfTrue="1" operator="greaterThan">
      <formula>$D$35*0.1</formula>
    </cfRule>
  </conditionalFormatting>
  <conditionalFormatting sqref="C73">
    <cfRule type="cellIs" dxfId="185" priority="16" stopIfTrue="1" operator="greaterThan">
      <formula>$C$75*0.1</formula>
    </cfRule>
  </conditionalFormatting>
  <conditionalFormatting sqref="D73">
    <cfRule type="cellIs" dxfId="184" priority="17" stopIfTrue="1" operator="greaterThan">
      <formula>$D$75*0.1</formula>
    </cfRule>
  </conditionalFormatting>
  <conditionalFormatting sqref="D61">
    <cfRule type="cellIs" dxfId="183" priority="18" stopIfTrue="1" operator="greaterThan">
      <formula>$D$63*0.1</formula>
    </cfRule>
  </conditionalFormatting>
  <conditionalFormatting sqref="C61">
    <cfRule type="cellIs" dxfId="182" priority="19" stopIfTrue="1" operator="greaterThan">
      <formula>$C$63*0.1</formula>
    </cfRule>
  </conditionalFormatting>
  <conditionalFormatting sqref="D21">
    <cfRule type="cellIs" dxfId="181" priority="20" stopIfTrue="1" operator="greaterThan">
      <formula>$D$23*0.1</formula>
    </cfRule>
  </conditionalFormatting>
  <conditionalFormatting sqref="C21">
    <cfRule type="cellIs" dxfId="180" priority="21" stopIfTrue="1" operator="greaterThan">
      <formula>$C$23*0.1</formula>
    </cfRule>
  </conditionalFormatting>
  <conditionalFormatting sqref="E61">
    <cfRule type="cellIs" dxfId="179" priority="22" stopIfTrue="1" operator="greaterThan">
      <formula>$E$63*0.1+E82</formula>
    </cfRule>
  </conditionalFormatting>
  <conditionalFormatting sqref="E21">
    <cfRule type="cellIs" dxfId="178" priority="23" stopIfTrue="1" operator="greaterThan">
      <formula>$E$23*0.1+E42</formula>
    </cfRule>
  </conditionalFormatting>
  <conditionalFormatting sqref="D76 D36">
    <cfRule type="cellIs" dxfId="177" priority="4" stopIfTrue="1" operator="lessThan">
      <formula>0</formula>
    </cfRule>
  </conditionalFormatting>
  <conditionalFormatting sqref="J35">
    <cfRule type="containsText" dxfId="176" priority="2" operator="containsText" text="Yes">
      <formula>NOT(ISERROR(SEARCH("Yes",J35)))</formula>
    </cfRule>
  </conditionalFormatting>
  <conditionalFormatting sqref="J77">
    <cfRule type="containsText" dxfId="175" priority="1" operator="containsText" text="Yes">
      <formula>NOT(ISERROR(SEARCH("Yes",J77)))</formula>
    </cfRule>
  </conditionalFormatting>
  <pageMargins left="0.5" right="0.5" top="1" bottom="0.5" header="0.5" footer="0.5"/>
  <pageSetup scale="53" orientation="portrait" blackAndWhite="1" horizontalDpi="120" verticalDpi="144" r:id="rId1"/>
  <headerFooter alignWithMargins="0">
    <oddHeader xml:space="preserve">&amp;RState of Kansas
City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tabColor rgb="FF00B0F0"/>
    <pageSetUpPr fitToPage="1"/>
  </sheetPr>
  <dimension ref="B1:K100"/>
  <sheetViews>
    <sheetView topLeftCell="A55" zoomScaleNormal="100" workbookViewId="0">
      <selection activeCell="C87" sqref="C87"/>
    </sheetView>
  </sheetViews>
  <sheetFormatPr defaultRowHeight="15.75" x14ac:dyDescent="0.2"/>
  <cols>
    <col min="1" max="1" width="2.44140625" style="7" customWidth="1"/>
    <col min="2" max="2" width="31.109375" style="7" customWidth="1"/>
    <col min="3" max="4" width="15.77734375" style="7" customWidth="1"/>
    <col min="5" max="5" width="16.5546875" style="7" customWidth="1"/>
    <col min="6" max="6" width="8.88671875" style="7"/>
    <col min="7" max="7" width="10.21875" style="7" customWidth="1"/>
    <col min="8" max="8" width="8.88671875" style="7"/>
    <col min="9" max="9" width="5.5546875" style="7" customWidth="1"/>
    <col min="10" max="10" width="10" style="7" customWidth="1"/>
    <col min="11" max="16384" width="8.88671875" style="7"/>
  </cols>
  <sheetData>
    <row r="1" spans="2:10" x14ac:dyDescent="0.2">
      <c r="B1" s="112" t="str">
        <f>(inputPrYr!D3)</f>
        <v>Valley Falls</v>
      </c>
      <c r="C1" s="6"/>
      <c r="D1" s="6"/>
      <c r="E1" s="158">
        <f>inputPrYr!C6</f>
        <v>2023</v>
      </c>
    </row>
    <row r="2" spans="2:10" x14ac:dyDescent="0.2">
      <c r="B2" s="6"/>
      <c r="C2" s="6"/>
      <c r="D2" s="6"/>
      <c r="E2" s="108"/>
    </row>
    <row r="3" spans="2:10" x14ac:dyDescent="0.2">
      <c r="B3" s="17" t="s">
        <v>84</v>
      </c>
      <c r="C3" s="117"/>
      <c r="D3" s="117"/>
      <c r="E3" s="196"/>
    </row>
    <row r="4" spans="2:10" x14ac:dyDescent="0.2">
      <c r="B4" s="9" t="s">
        <v>20</v>
      </c>
      <c r="C4" s="539" t="s">
        <v>665</v>
      </c>
      <c r="D4" s="540" t="s">
        <v>668</v>
      </c>
      <c r="E4" s="89" t="s">
        <v>669</v>
      </c>
    </row>
    <row r="5" spans="2:10" x14ac:dyDescent="0.2">
      <c r="B5" s="297">
        <f>inputPrYr!B29</f>
        <v>0</v>
      </c>
      <c r="C5" s="283" t="str">
        <f>CONCATENATE("Actual for ",E1-2,"")</f>
        <v>Actual for 2021</v>
      </c>
      <c r="D5" s="283" t="str">
        <f>CONCATENATE("Estimate for ",E1-1,"")</f>
        <v>Estimate for 2022</v>
      </c>
      <c r="E5" s="166" t="str">
        <f>CONCATENATE("Year for ",E1,"")</f>
        <v>Year for 2023</v>
      </c>
    </row>
    <row r="6" spans="2:10" x14ac:dyDescent="0.2">
      <c r="B6" s="167" t="s">
        <v>99</v>
      </c>
      <c r="C6" s="168"/>
      <c r="D6" s="282">
        <f>C36</f>
        <v>0</v>
      </c>
      <c r="E6" s="139">
        <f>D36</f>
        <v>0</v>
      </c>
    </row>
    <row r="7" spans="2:10" x14ac:dyDescent="0.2">
      <c r="B7" s="167" t="s">
        <v>101</v>
      </c>
      <c r="C7" s="103"/>
      <c r="D7" s="103"/>
      <c r="E7" s="41"/>
    </row>
    <row r="8" spans="2:10" x14ac:dyDescent="0.2">
      <c r="B8" s="95" t="s">
        <v>21</v>
      </c>
      <c r="C8" s="168"/>
      <c r="D8" s="282">
        <f>IF(inputPrYr!H21&gt;0,inputPrYr!G32,inputPrYr!E29)</f>
        <v>0</v>
      </c>
      <c r="E8" s="193" t="s">
        <v>10</v>
      </c>
    </row>
    <row r="9" spans="2:10" x14ac:dyDescent="0.2">
      <c r="B9" s="95" t="s">
        <v>22</v>
      </c>
      <c r="C9" s="168"/>
      <c r="D9" s="168"/>
      <c r="E9" s="26"/>
    </row>
    <row r="10" spans="2:10" x14ac:dyDescent="0.2">
      <c r="B10" s="95" t="s">
        <v>23</v>
      </c>
      <c r="C10" s="168"/>
      <c r="D10" s="168"/>
      <c r="E10" s="139" t="str">
        <f>Mvalloc!D16</f>
        <v xml:space="preserve">  </v>
      </c>
    </row>
    <row r="11" spans="2:10" x14ac:dyDescent="0.2">
      <c r="B11" s="95" t="s">
        <v>24</v>
      </c>
      <c r="C11" s="168"/>
      <c r="D11" s="168"/>
      <c r="E11" s="139" t="str">
        <f>Mvalloc!E16</f>
        <v xml:space="preserve"> </v>
      </c>
      <c r="G11" s="902" t="str">
        <f>CONCATENATE("Desired Carryover Into ",E1+1,"")</f>
        <v>Desired Carryover Into 2024</v>
      </c>
      <c r="H11" s="886"/>
      <c r="I11" s="886"/>
      <c r="J11" s="887"/>
    </row>
    <row r="12" spans="2:10" x14ac:dyDescent="0.2">
      <c r="B12" s="103" t="s">
        <v>91</v>
      </c>
      <c r="C12" s="168"/>
      <c r="D12" s="168"/>
      <c r="E12" s="139" t="str">
        <f>Mvalloc!F16</f>
        <v xml:space="preserve"> </v>
      </c>
      <c r="G12" s="561"/>
      <c r="H12" s="548"/>
      <c r="I12" s="555"/>
      <c r="J12" s="562"/>
    </row>
    <row r="13" spans="2:10" x14ac:dyDescent="0.2">
      <c r="B13" s="646" t="s">
        <v>819</v>
      </c>
      <c r="C13" s="168"/>
      <c r="D13" s="168"/>
      <c r="E13" s="139" t="str">
        <f>Mvalloc!G16</f>
        <v xml:space="preserve"> </v>
      </c>
      <c r="G13" s="560" t="s">
        <v>522</v>
      </c>
      <c r="H13" s="555"/>
      <c r="I13" s="555"/>
      <c r="J13" s="549">
        <v>0</v>
      </c>
    </row>
    <row r="14" spans="2:10" x14ac:dyDescent="0.2">
      <c r="B14" s="646" t="s">
        <v>820</v>
      </c>
      <c r="C14" s="168"/>
      <c r="D14" s="168"/>
      <c r="E14" s="139" t="str">
        <f>Mvalloc!H16</f>
        <v xml:space="preserve"> </v>
      </c>
      <c r="G14" s="561" t="s">
        <v>523</v>
      </c>
      <c r="H14" s="548"/>
      <c r="I14" s="548"/>
      <c r="J14" s="575" t="str">
        <f>IF(J13=0,"",ROUND((J13+E42-G26)/inputOth!E7*1000,3)-G31)</f>
        <v/>
      </c>
    </row>
    <row r="15" spans="2:10" x14ac:dyDescent="0.2">
      <c r="B15" s="26"/>
      <c r="C15" s="168"/>
      <c r="D15" s="168"/>
      <c r="E15" s="26"/>
      <c r="G15" s="573" t="str">
        <f>CONCATENATE("",E1," Tot Exp/Non-Appr Must Be:")</f>
        <v>2023 Tot Exp/Non-Appr Must Be:</v>
      </c>
      <c r="H15" s="571"/>
      <c r="I15" s="572"/>
      <c r="J15" s="570">
        <f>IF(J13&gt;0,IF(E39&lt;E24,IF(J13=G26,E39,((J13-G26)*(1-D41))+E24),E39+(J13-G26)),0)</f>
        <v>0</v>
      </c>
    </row>
    <row r="16" spans="2:10" x14ac:dyDescent="0.2">
      <c r="B16" s="180"/>
      <c r="C16" s="168"/>
      <c r="D16" s="168"/>
      <c r="E16" s="26"/>
      <c r="G16" s="495" t="s">
        <v>670</v>
      </c>
      <c r="H16" s="578"/>
      <c r="I16" s="578"/>
      <c r="J16" s="574">
        <f>IF(J13&gt;0,J15-E39,0)</f>
        <v>0</v>
      </c>
    </row>
    <row r="17" spans="2:11" x14ac:dyDescent="0.25">
      <c r="B17" s="180"/>
      <c r="C17" s="168"/>
      <c r="D17" s="168"/>
      <c r="E17" s="26"/>
      <c r="J17" s="543"/>
    </row>
    <row r="18" spans="2:11" x14ac:dyDescent="0.2">
      <c r="B18" s="180"/>
      <c r="C18" s="168"/>
      <c r="D18" s="168"/>
      <c r="E18" s="26"/>
      <c r="G18" s="902" t="str">
        <f>CONCATENATE("Projected Carryover Into ",E1+1,"")</f>
        <v>Projected Carryover Into 2024</v>
      </c>
      <c r="H18" s="909"/>
      <c r="I18" s="909"/>
      <c r="J18" s="913"/>
    </row>
    <row r="19" spans="2:11" x14ac:dyDescent="0.2">
      <c r="B19" s="175" t="s">
        <v>26</v>
      </c>
      <c r="C19" s="168"/>
      <c r="D19" s="168"/>
      <c r="E19" s="26"/>
      <c r="G19" s="561"/>
      <c r="H19" s="555"/>
      <c r="I19" s="555"/>
      <c r="J19" s="583"/>
    </row>
    <row r="20" spans="2:11" x14ac:dyDescent="0.2">
      <c r="B20" s="181" t="s">
        <v>193</v>
      </c>
      <c r="C20" s="168"/>
      <c r="D20" s="168"/>
      <c r="E20" s="673">
        <f>'NR Rebate'!E15*-1</f>
        <v>0</v>
      </c>
      <c r="G20" s="552">
        <f>D36</f>
        <v>0</v>
      </c>
      <c r="H20" s="553" t="str">
        <f>CONCATENATE("",E1-1," Ending Cash Balance (est.)")</f>
        <v>2022 Ending Cash Balance (est.)</v>
      </c>
      <c r="I20" s="554"/>
      <c r="J20" s="583"/>
    </row>
    <row r="21" spans="2:11" x14ac:dyDescent="0.2">
      <c r="B21" s="103" t="s">
        <v>192</v>
      </c>
      <c r="C21" s="168"/>
      <c r="D21" s="168"/>
      <c r="E21" s="26"/>
      <c r="G21" s="552">
        <f>E23</f>
        <v>0</v>
      </c>
      <c r="H21" s="555" t="str">
        <f>CONCATENATE("",E1," Non-AV Receipts (est.)")</f>
        <v>2023 Non-AV Receipts (est.)</v>
      </c>
      <c r="I21" s="554"/>
      <c r="J21" s="583"/>
    </row>
    <row r="22" spans="2:11" x14ac:dyDescent="0.2">
      <c r="B22" s="167" t="s">
        <v>654</v>
      </c>
      <c r="C22" s="284" t="str">
        <f>IF(C23*0.1&lt;C21,"Exceed 10% Rule","")</f>
        <v/>
      </c>
      <c r="D22" s="284" t="str">
        <f>IF(D23*0.1&lt;D21,"Exceed 10% Rule","")</f>
        <v/>
      </c>
      <c r="E22" s="299" t="str">
        <f>IF(E23*0.1+E42&lt;E21,"Exceed 10% Rule","")</f>
        <v/>
      </c>
      <c r="G22" s="556">
        <f>IF(D41&gt;0,E40,E42)</f>
        <v>0</v>
      </c>
      <c r="H22" s="555" t="str">
        <f>CONCATENATE("",E1," Ad Valorem Tax (est.)")</f>
        <v>2023 Ad Valorem Tax (est.)</v>
      </c>
      <c r="I22" s="554"/>
      <c r="J22" s="583"/>
      <c r="K22" s="498" t="str">
        <f>IF(G22=E42,"","Note: Does not include Delinquent Taxes")</f>
        <v/>
      </c>
    </row>
    <row r="23" spans="2:11" x14ac:dyDescent="0.2">
      <c r="B23" s="177" t="s">
        <v>27</v>
      </c>
      <c r="C23" s="285">
        <f>SUM(C8:C21)</f>
        <v>0</v>
      </c>
      <c r="D23" s="285">
        <f>SUM(D8:D21)</f>
        <v>0</v>
      </c>
      <c r="E23" s="198">
        <f>SUM(E8:E21)</f>
        <v>0</v>
      </c>
      <c r="G23" s="552">
        <f>SUM(G20:G22)</f>
        <v>0</v>
      </c>
      <c r="H23" s="555" t="str">
        <f>CONCATENATE("Total ",E1," Resources Available")</f>
        <v>Total 2023 Resources Available</v>
      </c>
      <c r="I23" s="554"/>
      <c r="J23" s="583"/>
    </row>
    <row r="24" spans="2:11" x14ac:dyDescent="0.2">
      <c r="B24" s="177" t="s">
        <v>28</v>
      </c>
      <c r="C24" s="285">
        <f>C6+C23</f>
        <v>0</v>
      </c>
      <c r="D24" s="285">
        <f>D6+D23</f>
        <v>0</v>
      </c>
      <c r="E24" s="198">
        <f>E6+E23</f>
        <v>0</v>
      </c>
      <c r="G24" s="557"/>
      <c r="H24" s="555"/>
      <c r="I24" s="555"/>
      <c r="J24" s="583"/>
    </row>
    <row r="25" spans="2:11" x14ac:dyDescent="0.2">
      <c r="B25" s="95" t="s">
        <v>30</v>
      </c>
      <c r="C25" s="181"/>
      <c r="D25" s="181"/>
      <c r="E25" s="24"/>
      <c r="G25" s="556">
        <f>ROUND(C35*0.05+C35,0)</f>
        <v>0</v>
      </c>
      <c r="H25" s="555" t="str">
        <f>CONCATENATE("Less ",E1-2," Expenditures + 5%")</f>
        <v>Less 2021 Expenditures + 5%</v>
      </c>
      <c r="I25" s="554"/>
      <c r="J25" s="583"/>
    </row>
    <row r="26" spans="2:11" x14ac:dyDescent="0.25">
      <c r="B26" s="180"/>
      <c r="C26" s="168"/>
      <c r="D26" s="168"/>
      <c r="E26" s="26"/>
      <c r="G26" s="576">
        <f>G23-G25</f>
        <v>0</v>
      </c>
      <c r="H26" s="577" t="str">
        <f>CONCATENATE("Projected ",E1+1," carryover (est.)")</f>
        <v>Projected 2024 carryover (est.)</v>
      </c>
      <c r="I26" s="558"/>
      <c r="J26" s="581"/>
    </row>
    <row r="27" spans="2:11" x14ac:dyDescent="0.25">
      <c r="B27" s="180"/>
      <c r="C27" s="168"/>
      <c r="D27" s="168"/>
      <c r="E27" s="26"/>
      <c r="G27" s="543"/>
      <c r="H27" s="543"/>
      <c r="I27" s="543"/>
      <c r="J27" s="543"/>
    </row>
    <row r="28" spans="2:11" x14ac:dyDescent="0.2">
      <c r="B28" s="180"/>
      <c r="C28" s="168"/>
      <c r="D28" s="168"/>
      <c r="E28" s="26"/>
      <c r="G28" s="888" t="s">
        <v>969</v>
      </c>
      <c r="H28" s="889"/>
      <c r="I28" s="889"/>
      <c r="J28" s="890"/>
    </row>
    <row r="29" spans="2:11" x14ac:dyDescent="0.2">
      <c r="B29" s="180"/>
      <c r="C29" s="168"/>
      <c r="D29" s="168"/>
      <c r="E29" s="26"/>
      <c r="G29" s="891"/>
      <c r="H29" s="892"/>
      <c r="I29" s="892"/>
      <c r="J29" s="893"/>
    </row>
    <row r="30" spans="2:11" x14ac:dyDescent="0.2">
      <c r="B30" s="180"/>
      <c r="C30" s="168"/>
      <c r="D30" s="168"/>
      <c r="E30" s="26"/>
      <c r="G30" s="757" t="str">
        <f>'Budget Hearing Notice'!H25</f>
        <v xml:space="preserve">  </v>
      </c>
      <c r="H30" s="758" t="str">
        <f>CONCATENATE("",E1," Estimated Fund Mill Rate")</f>
        <v>2023 Estimated Fund Mill Rate</v>
      </c>
      <c r="I30" s="759"/>
      <c r="J30" s="760"/>
    </row>
    <row r="31" spans="2:11" x14ac:dyDescent="0.2">
      <c r="B31" s="180"/>
      <c r="C31" s="168"/>
      <c r="D31" s="168"/>
      <c r="E31" s="26"/>
      <c r="G31" s="761" t="str">
        <f>'Budget Hearing Notice'!E25</f>
        <v xml:space="preserve">  </v>
      </c>
      <c r="H31" s="758" t="str">
        <f>CONCATENATE("",E1-1," Fund Mill Rate")</f>
        <v>2022 Fund Mill Rate</v>
      </c>
      <c r="I31" s="759"/>
      <c r="J31" s="760"/>
    </row>
    <row r="32" spans="2:11" x14ac:dyDescent="0.2">
      <c r="B32" s="181" t="str">
        <f>CONCATENATE("Cash Forward (",E1," column)")</f>
        <v>Cash Forward (2023 column)</v>
      </c>
      <c r="C32" s="168"/>
      <c r="D32" s="168"/>
      <c r="E32" s="26"/>
      <c r="G32" s="762">
        <f>inputOth!D20</f>
        <v>34.689</v>
      </c>
      <c r="H32" s="763" t="s">
        <v>970</v>
      </c>
      <c r="I32" s="759"/>
      <c r="J32" s="760"/>
    </row>
    <row r="33" spans="2:10" x14ac:dyDescent="0.2">
      <c r="B33" s="181" t="s">
        <v>192</v>
      </c>
      <c r="C33" s="168"/>
      <c r="D33" s="168"/>
      <c r="E33" s="26"/>
      <c r="G33" s="757">
        <f>'Budget Hearing Notice'!H43</f>
        <v>29.513999999999999</v>
      </c>
      <c r="H33" s="758" t="str">
        <f>CONCATENATE(E1," Estimated Total Mill Rate")</f>
        <v>2023 Estimated Total Mill Rate</v>
      </c>
      <c r="I33" s="759"/>
      <c r="J33" s="760"/>
    </row>
    <row r="34" spans="2:10" x14ac:dyDescent="0.2">
      <c r="B34" s="181" t="s">
        <v>655</v>
      </c>
      <c r="C34" s="284" t="str">
        <f>IF(C35*0.1&lt;C33,"Exceed 10% Rule","")</f>
        <v/>
      </c>
      <c r="D34" s="284" t="str">
        <f>IF(D35*0.1&lt;D33,"Exceed 10% Rule","")</f>
        <v/>
      </c>
      <c r="E34" s="299" t="str">
        <f>IF(E35*0.1&lt;E33,"Exceed 10% Rule","")</f>
        <v/>
      </c>
      <c r="G34" s="764">
        <f>'Budget Hearing Notice'!E43</f>
        <v>38.04</v>
      </c>
      <c r="H34" s="758" t="str">
        <f>CONCATENATE(E1-1," Total Mill Rate")</f>
        <v>2022 Total Mill Rate</v>
      </c>
      <c r="I34" s="759"/>
      <c r="J34" s="760"/>
    </row>
    <row r="35" spans="2:10" x14ac:dyDescent="0.2">
      <c r="B35" s="177" t="s">
        <v>34</v>
      </c>
      <c r="C35" s="285">
        <f>SUM(C26:C33)</f>
        <v>0</v>
      </c>
      <c r="D35" s="285">
        <f>SUM(D26:D33)</f>
        <v>0</v>
      </c>
      <c r="E35" s="198">
        <f>SUM(E26:E33)</f>
        <v>0</v>
      </c>
      <c r="G35" s="765"/>
      <c r="H35" s="766"/>
      <c r="I35" s="766"/>
      <c r="J35" s="767"/>
    </row>
    <row r="36" spans="2:10" ht="15.75" customHeight="1" x14ac:dyDescent="0.2">
      <c r="B36" s="95" t="s">
        <v>100</v>
      </c>
      <c r="C36" s="282">
        <f>C24-C35</f>
        <v>0</v>
      </c>
      <c r="D36" s="282">
        <f>D24-D35</f>
        <v>0</v>
      </c>
      <c r="E36" s="193" t="s">
        <v>10</v>
      </c>
      <c r="G36" s="894" t="s">
        <v>971</v>
      </c>
      <c r="H36" s="895"/>
      <c r="I36" s="895"/>
      <c r="J36" s="898" t="str">
        <f>IF(G33&gt;G32, "Yes", "No")</f>
        <v>No</v>
      </c>
    </row>
    <row r="37" spans="2:10" x14ac:dyDescent="0.2">
      <c r="B37" s="110" t="str">
        <f>CONCATENATE("",E1-2,"/",E1-1,"/",E1," Budget Authority Amount:")</f>
        <v>2021/2022/2023 Budget Authority Amount:</v>
      </c>
      <c r="C37" s="428">
        <f>inputOth!B75</f>
        <v>0</v>
      </c>
      <c r="D37" s="591">
        <f>inputPrYr!D29</f>
        <v>0</v>
      </c>
      <c r="E37" s="139">
        <f>E35</f>
        <v>0</v>
      </c>
      <c r="F37" s="183"/>
      <c r="G37" s="896"/>
      <c r="H37" s="897"/>
      <c r="I37" s="897"/>
      <c r="J37" s="899"/>
    </row>
    <row r="38" spans="2:10" x14ac:dyDescent="0.2">
      <c r="B38" s="83"/>
      <c r="C38" s="881" t="s">
        <v>514</v>
      </c>
      <c r="D38" s="882"/>
      <c r="E38" s="26"/>
      <c r="F38" s="586" t="str">
        <f>IF(E35/0.95-E35&lt;E38,"Exceeds 5%","")</f>
        <v/>
      </c>
      <c r="G38" s="900" t="str">
        <f>IF(J36="Yes", "Follow procedure prescribed by KSA 79-2988 to exceed the Revenue Neutral Rate.", " ")</f>
        <v xml:space="preserve"> </v>
      </c>
      <c r="H38" s="900"/>
      <c r="I38" s="900"/>
      <c r="J38" s="900"/>
    </row>
    <row r="39" spans="2:10" x14ac:dyDescent="0.2">
      <c r="B39" s="301" t="str">
        <f>CONCATENATE(C97,"     ",D97)</f>
        <v xml:space="preserve">     </v>
      </c>
      <c r="C39" s="883" t="s">
        <v>515</v>
      </c>
      <c r="D39" s="884"/>
      <c r="E39" s="139">
        <f>E35+E38</f>
        <v>0</v>
      </c>
      <c r="G39" s="901"/>
      <c r="H39" s="901"/>
      <c r="I39" s="901"/>
      <c r="J39" s="901"/>
    </row>
    <row r="40" spans="2:10" x14ac:dyDescent="0.2">
      <c r="B40" s="301" t="str">
        <f>CONCATENATE(C98,"     ",D98)</f>
        <v xml:space="preserve">     </v>
      </c>
      <c r="C40" s="184"/>
      <c r="D40" s="108" t="s">
        <v>35</v>
      </c>
      <c r="E40" s="139">
        <f>IF(E39-E24&gt;0,E39-E24,0)</f>
        <v>0</v>
      </c>
      <c r="G40" s="901"/>
      <c r="H40" s="901"/>
      <c r="I40" s="901"/>
      <c r="J40" s="901"/>
    </row>
    <row r="41" spans="2:10" x14ac:dyDescent="0.2">
      <c r="B41" s="108"/>
      <c r="C41" s="289" t="s">
        <v>516</v>
      </c>
      <c r="D41" s="497">
        <f>inputOth!$E$52</f>
        <v>0.03</v>
      </c>
      <c r="E41" s="139">
        <f>ROUND(IF(D41&gt;0,(E40*D41),0),0)</f>
        <v>0</v>
      </c>
    </row>
    <row r="42" spans="2:10" ht="16.5" thickBot="1" x14ac:dyDescent="0.25">
      <c r="B42" s="6"/>
      <c r="C42" s="874" t="str">
        <f>CONCATENATE("Amount of  ",$E$1-1," Ad Valorem Tax")</f>
        <v>Amount of  2022 Ad Valorem Tax</v>
      </c>
      <c r="D42" s="885"/>
      <c r="E42" s="199">
        <f>E40+E41</f>
        <v>0</v>
      </c>
    </row>
    <row r="43" spans="2:10" ht="16.5" thickTop="1" x14ac:dyDescent="0.2">
      <c r="B43" s="6"/>
      <c r="C43" s="906"/>
      <c r="D43" s="906"/>
      <c r="E43" s="6"/>
    </row>
    <row r="44" spans="2:10" ht="15.75" customHeight="1" x14ac:dyDescent="0.2">
      <c r="B44" s="6"/>
      <c r="C44" s="6"/>
      <c r="D44" s="6"/>
      <c r="E44" s="6"/>
    </row>
    <row r="45" spans="2:10" ht="15.75" customHeight="1" x14ac:dyDescent="0.2">
      <c r="B45" s="9"/>
      <c r="C45" s="87"/>
      <c r="D45" s="87"/>
      <c r="E45" s="87"/>
    </row>
    <row r="46" spans="2:10" x14ac:dyDescent="0.2">
      <c r="B46" s="9" t="s">
        <v>20</v>
      </c>
      <c r="C46" s="539" t="str">
        <f t="shared" ref="C46:E47" si="0">C4</f>
        <v xml:space="preserve">Prior Year </v>
      </c>
      <c r="D46" s="540" t="str">
        <f t="shared" si="0"/>
        <v xml:space="preserve">Current Year </v>
      </c>
      <c r="E46" s="89" t="str">
        <f t="shared" si="0"/>
        <v xml:space="preserve">Proposed Budget </v>
      </c>
    </row>
    <row r="47" spans="2:10" x14ac:dyDescent="0.2">
      <c r="B47" s="298">
        <f>inputPrYr!B30</f>
        <v>0</v>
      </c>
      <c r="C47" s="283" t="str">
        <f t="shared" si="0"/>
        <v>Actual for 2021</v>
      </c>
      <c r="D47" s="283" t="str">
        <f t="shared" si="0"/>
        <v>Estimate for 2022</v>
      </c>
      <c r="E47" s="124" t="str">
        <f t="shared" si="0"/>
        <v>Year for 2023</v>
      </c>
    </row>
    <row r="48" spans="2:10" x14ac:dyDescent="0.2">
      <c r="B48" s="167" t="s">
        <v>99</v>
      </c>
      <c r="C48" s="168"/>
      <c r="D48" s="282">
        <f>C75</f>
        <v>0</v>
      </c>
      <c r="E48" s="139">
        <f>D75</f>
        <v>0</v>
      </c>
    </row>
    <row r="49" spans="2:11" x14ac:dyDescent="0.2">
      <c r="B49" s="170" t="s">
        <v>101</v>
      </c>
      <c r="C49" s="103"/>
      <c r="D49" s="103"/>
      <c r="E49" s="41"/>
    </row>
    <row r="50" spans="2:11" x14ac:dyDescent="0.2">
      <c r="B50" s="95" t="s">
        <v>21</v>
      </c>
      <c r="C50" s="168"/>
      <c r="D50" s="282">
        <f>IF(inputPrYr!H21&gt;0,inputPrYr!G33,inputPrYr!E30)</f>
        <v>0</v>
      </c>
      <c r="E50" s="193" t="s">
        <v>10</v>
      </c>
    </row>
    <row r="51" spans="2:11" x14ac:dyDescent="0.2">
      <c r="B51" s="95" t="s">
        <v>22</v>
      </c>
      <c r="C51" s="168"/>
      <c r="D51" s="168"/>
      <c r="E51" s="26"/>
    </row>
    <row r="52" spans="2:11" x14ac:dyDescent="0.2">
      <c r="B52" s="95" t="s">
        <v>23</v>
      </c>
      <c r="C52" s="168"/>
      <c r="D52" s="168"/>
      <c r="E52" s="139" t="str">
        <f>Mvalloc!D17</f>
        <v xml:space="preserve">  </v>
      </c>
    </row>
    <row r="53" spans="2:11" x14ac:dyDescent="0.2">
      <c r="B53" s="95" t="s">
        <v>24</v>
      </c>
      <c r="C53" s="168"/>
      <c r="D53" s="168"/>
      <c r="E53" s="139" t="str">
        <f>Mvalloc!E17</f>
        <v xml:space="preserve"> </v>
      </c>
      <c r="G53" s="902" t="str">
        <f>CONCATENATE("Desired Carryover Into ",E1+1,"")</f>
        <v>Desired Carryover Into 2024</v>
      </c>
      <c r="H53" s="886"/>
      <c r="I53" s="886"/>
      <c r="J53" s="887"/>
    </row>
    <row r="54" spans="2:11" x14ac:dyDescent="0.2">
      <c r="B54" s="103" t="s">
        <v>91</v>
      </c>
      <c r="C54" s="168"/>
      <c r="D54" s="168"/>
      <c r="E54" s="139" t="str">
        <f>Mvalloc!F17</f>
        <v xml:space="preserve"> </v>
      </c>
      <c r="G54" s="561"/>
      <c r="H54" s="548"/>
      <c r="I54" s="555"/>
      <c r="J54" s="562"/>
    </row>
    <row r="55" spans="2:11" x14ac:dyDescent="0.2">
      <c r="B55" s="646" t="s">
        <v>819</v>
      </c>
      <c r="C55" s="168"/>
      <c r="D55" s="168"/>
      <c r="E55" s="139" t="str">
        <f>Mvalloc!G17</f>
        <v xml:space="preserve"> </v>
      </c>
      <c r="G55" s="560" t="s">
        <v>522</v>
      </c>
      <c r="H55" s="555"/>
      <c r="I55" s="555"/>
      <c r="J55" s="549">
        <v>0</v>
      </c>
    </row>
    <row r="56" spans="2:11" x14ac:dyDescent="0.2">
      <c r="B56" s="646" t="s">
        <v>820</v>
      </c>
      <c r="C56" s="168"/>
      <c r="D56" s="168"/>
      <c r="E56" s="139" t="str">
        <f>Mvalloc!H17</f>
        <v xml:space="preserve"> </v>
      </c>
      <c r="G56" s="561" t="s">
        <v>523</v>
      </c>
      <c r="H56" s="548"/>
      <c r="I56" s="548"/>
      <c r="J56" s="575" t="str">
        <f>IF(J55=0,"",ROUND((J55+E81-G68)/inputOth!E7*1000,3)-G73)</f>
        <v/>
      </c>
    </row>
    <row r="57" spans="2:11" x14ac:dyDescent="0.2">
      <c r="B57" s="26"/>
      <c r="C57" s="168"/>
      <c r="D57" s="168"/>
      <c r="E57" s="26"/>
      <c r="G57" s="573" t="str">
        <f>CONCATENATE("",E1," Tot Exp/Non-Appr Must Be:")</f>
        <v>2023 Tot Exp/Non-Appr Must Be:</v>
      </c>
      <c r="H57" s="571"/>
      <c r="I57" s="572"/>
      <c r="J57" s="570">
        <f>IF(J55&gt;0,IF(E78&lt;E63,IF(J55=G68,E78,((J55-G68)*(1-D80))+E63),E78+(J55-G68)),0)</f>
        <v>0</v>
      </c>
    </row>
    <row r="58" spans="2:11" x14ac:dyDescent="0.2">
      <c r="B58" s="175" t="s">
        <v>26</v>
      </c>
      <c r="C58" s="168"/>
      <c r="D58" s="168"/>
      <c r="E58" s="26"/>
      <c r="G58" s="495" t="s">
        <v>670</v>
      </c>
      <c r="H58" s="578"/>
      <c r="I58" s="578"/>
      <c r="J58" s="574">
        <f>IF(J55&gt;0,J57-E78,0)</f>
        <v>0</v>
      </c>
    </row>
    <row r="59" spans="2:11" x14ac:dyDescent="0.25">
      <c r="B59" s="181" t="s">
        <v>193</v>
      </c>
      <c r="C59" s="168"/>
      <c r="D59" s="168"/>
      <c r="E59" s="673">
        <f>'NR Rebate'!E16*-1</f>
        <v>0</v>
      </c>
      <c r="J59" s="543"/>
    </row>
    <row r="60" spans="2:11" x14ac:dyDescent="0.2">
      <c r="B60" s="103" t="s">
        <v>192</v>
      </c>
      <c r="C60" s="168"/>
      <c r="D60" s="168"/>
      <c r="E60" s="26"/>
      <c r="G60" s="902" t="str">
        <f>CONCATENATE("Projected Carryover Into ",E1+1,"")</f>
        <v>Projected Carryover Into 2024</v>
      </c>
      <c r="H60" s="912"/>
      <c r="I60" s="912"/>
      <c r="J60" s="913"/>
    </row>
    <row r="61" spans="2:11" x14ac:dyDescent="0.2">
      <c r="B61" s="167" t="s">
        <v>654</v>
      </c>
      <c r="C61" s="284" t="str">
        <f>IF(C62*0.1&lt;C60,"Exceed 10% Rule","")</f>
        <v/>
      </c>
      <c r="D61" s="284" t="str">
        <f>IF(D62*0.1&lt;D60,"Exceed 10% Rule","")</f>
        <v/>
      </c>
      <c r="E61" s="299" t="str">
        <f>IF(E62*0.1+E81&lt;E60,"Exceed 10% Rule","")</f>
        <v/>
      </c>
      <c r="G61" s="550"/>
      <c r="H61" s="548"/>
      <c r="I61" s="548"/>
      <c r="J61" s="583"/>
    </row>
    <row r="62" spans="2:11" x14ac:dyDescent="0.2">
      <c r="B62" s="177" t="s">
        <v>27</v>
      </c>
      <c r="C62" s="285">
        <f>SUM(C50:C60)</f>
        <v>0</v>
      </c>
      <c r="D62" s="285">
        <f>SUM(D50:D60)</f>
        <v>0</v>
      </c>
      <c r="E62" s="198">
        <f>SUM(E50:E60)</f>
        <v>0</v>
      </c>
      <c r="G62" s="552">
        <f>D75</f>
        <v>0</v>
      </c>
      <c r="H62" s="553" t="str">
        <f>CONCATENATE("",E1-1," Ending Cash Balance (est.)")</f>
        <v>2022 Ending Cash Balance (est.)</v>
      </c>
      <c r="I62" s="554"/>
      <c r="J62" s="583"/>
    </row>
    <row r="63" spans="2:11" x14ac:dyDescent="0.2">
      <c r="B63" s="177" t="s">
        <v>28</v>
      </c>
      <c r="C63" s="285">
        <f>C48+C62</f>
        <v>0</v>
      </c>
      <c r="D63" s="285">
        <f>D48+D62</f>
        <v>0</v>
      </c>
      <c r="E63" s="198">
        <f>E48+E62</f>
        <v>0</v>
      </c>
      <c r="G63" s="552">
        <f>E62</f>
        <v>0</v>
      </c>
      <c r="H63" s="555" t="str">
        <f>CONCATENATE("",E1," Non-AV Receipts (est.)")</f>
        <v>2023 Non-AV Receipts (est.)</v>
      </c>
      <c r="I63" s="554"/>
      <c r="J63" s="583"/>
    </row>
    <row r="64" spans="2:11" x14ac:dyDescent="0.2">
      <c r="B64" s="95" t="s">
        <v>30</v>
      </c>
      <c r="C64" s="181"/>
      <c r="D64" s="181"/>
      <c r="E64" s="24"/>
      <c r="G64" s="556">
        <f>IF(D80&gt;0,E79,E81)</f>
        <v>0</v>
      </c>
      <c r="H64" s="555" t="str">
        <f>CONCATENATE("",E1," Ad Valorem Tax (est.)")</f>
        <v>2023 Ad Valorem Tax (est.)</v>
      </c>
      <c r="I64" s="554"/>
      <c r="J64" s="583"/>
      <c r="K64" s="498" t="str">
        <f>IF(G64=E81,"","Note: Does not include Delinquent Taxes")</f>
        <v/>
      </c>
    </row>
    <row r="65" spans="2:10" x14ac:dyDescent="0.2">
      <c r="B65" s="180"/>
      <c r="C65" s="168"/>
      <c r="D65" s="168"/>
      <c r="E65" s="26"/>
      <c r="G65" s="563">
        <f>SUM(G62:G64)</f>
        <v>0</v>
      </c>
      <c r="H65" s="555" t="str">
        <f>CONCATENATE("Total ",E1," Resources Available")</f>
        <v>Total 2023 Resources Available</v>
      </c>
      <c r="I65" s="551"/>
      <c r="J65" s="583"/>
    </row>
    <row r="66" spans="2:10" x14ac:dyDescent="0.2">
      <c r="B66" s="180"/>
      <c r="C66" s="168"/>
      <c r="D66" s="168"/>
      <c r="E66" s="26"/>
      <c r="G66" s="566"/>
      <c r="H66" s="564"/>
      <c r="I66" s="548"/>
      <c r="J66" s="583"/>
    </row>
    <row r="67" spans="2:10" x14ac:dyDescent="0.2">
      <c r="B67" s="180"/>
      <c r="C67" s="168"/>
      <c r="D67" s="168"/>
      <c r="E67" s="26"/>
      <c r="G67" s="565">
        <f>ROUND(C74*0.05+C74,0)</f>
        <v>0</v>
      </c>
      <c r="H67" s="564" t="str">
        <f>CONCATENATE("Less ",E1-2," Expenditures + 5%")</f>
        <v>Less 2021 Expenditures + 5%</v>
      </c>
      <c r="I67" s="551"/>
      <c r="J67" s="583"/>
    </row>
    <row r="68" spans="2:10" x14ac:dyDescent="0.25">
      <c r="B68" s="180"/>
      <c r="C68" s="168"/>
      <c r="D68" s="168"/>
      <c r="E68" s="26"/>
      <c r="G68" s="567">
        <f>G65-G67</f>
        <v>0</v>
      </c>
      <c r="H68" s="568" t="str">
        <f>CONCATENATE("Projected ",E1+1," carryover (est.)")</f>
        <v>Projected 2024 carryover (est.)</v>
      </c>
      <c r="I68" s="559"/>
      <c r="J68" s="581"/>
    </row>
    <row r="69" spans="2:10" x14ac:dyDescent="0.25">
      <c r="B69" s="180"/>
      <c r="C69" s="168"/>
      <c r="D69" s="168"/>
      <c r="E69" s="26"/>
      <c r="G69" s="543"/>
      <c r="H69" s="543"/>
      <c r="I69" s="543"/>
    </row>
    <row r="70" spans="2:10" x14ac:dyDescent="0.2">
      <c r="B70" s="180"/>
      <c r="C70" s="168"/>
      <c r="D70" s="168"/>
      <c r="E70" s="26"/>
      <c r="G70" s="888" t="s">
        <v>969</v>
      </c>
      <c r="H70" s="889"/>
      <c r="I70" s="889"/>
      <c r="J70" s="890"/>
    </row>
    <row r="71" spans="2:10" x14ac:dyDescent="0.2">
      <c r="B71" s="181" t="str">
        <f>CONCATENATE("Cash Forward (",E1," column)")</f>
        <v>Cash Forward (2023 column)</v>
      </c>
      <c r="C71" s="168"/>
      <c r="D71" s="168"/>
      <c r="E71" s="26"/>
      <c r="G71" s="891"/>
      <c r="H71" s="892"/>
      <c r="I71" s="892"/>
      <c r="J71" s="893"/>
    </row>
    <row r="72" spans="2:10" x14ac:dyDescent="0.2">
      <c r="B72" s="181" t="s">
        <v>192</v>
      </c>
      <c r="C72" s="168"/>
      <c r="D72" s="168"/>
      <c r="E72" s="26"/>
      <c r="G72" s="757" t="str">
        <f>'Budget Hearing Notice'!H26</f>
        <v xml:space="preserve">  </v>
      </c>
      <c r="H72" s="758" t="str">
        <f>CONCATENATE("",E1," Estimated Fund Mill Rate")</f>
        <v>2023 Estimated Fund Mill Rate</v>
      </c>
      <c r="I72" s="759"/>
      <c r="J72" s="760"/>
    </row>
    <row r="73" spans="2:10" x14ac:dyDescent="0.2">
      <c r="B73" s="181" t="s">
        <v>655</v>
      </c>
      <c r="C73" s="284" t="str">
        <f>IF(C74*0.1&lt;C72,"Exceed 10% Rule","")</f>
        <v/>
      </c>
      <c r="D73" s="284" t="str">
        <f>IF(D74*0.1&lt;D72,"Exceed 10% Rule","")</f>
        <v/>
      </c>
      <c r="E73" s="299" t="str">
        <f>IF(E74*0.1&lt;E72,"Exceed 10% Rule","")</f>
        <v/>
      </c>
      <c r="G73" s="761" t="str">
        <f>'Budget Hearing Notice'!E26</f>
        <v xml:space="preserve">  </v>
      </c>
      <c r="H73" s="758" t="str">
        <f>CONCATENATE("",E1-1," Fund Mill Rate")</f>
        <v>2022 Fund Mill Rate</v>
      </c>
      <c r="I73" s="759"/>
      <c r="J73" s="760"/>
    </row>
    <row r="74" spans="2:10" x14ac:dyDescent="0.2">
      <c r="B74" s="177" t="s">
        <v>34</v>
      </c>
      <c r="C74" s="285">
        <f>SUM(C65:C72)</f>
        <v>0</v>
      </c>
      <c r="D74" s="285">
        <f>SUM(D65:D72)</f>
        <v>0</v>
      </c>
      <c r="E74" s="198">
        <f>SUM(E65:E72)</f>
        <v>0</v>
      </c>
      <c r="G74" s="762">
        <f>inputOth!D20</f>
        <v>34.689</v>
      </c>
      <c r="H74" s="763" t="s">
        <v>970</v>
      </c>
      <c r="I74" s="759"/>
      <c r="J74" s="760"/>
    </row>
    <row r="75" spans="2:10" x14ac:dyDescent="0.2">
      <c r="B75" s="95" t="s">
        <v>100</v>
      </c>
      <c r="C75" s="282">
        <f>C63-C74</f>
        <v>0</v>
      </c>
      <c r="D75" s="282">
        <f>D63-D74</f>
        <v>0</v>
      </c>
      <c r="E75" s="193" t="s">
        <v>10</v>
      </c>
      <c r="G75" s="757">
        <f>'Budget Hearing Notice'!H43</f>
        <v>29.513999999999999</v>
      </c>
      <c r="H75" s="758" t="str">
        <f>CONCATENATE(E1," Estimated Total Mill Rate")</f>
        <v>2023 Estimated Total Mill Rate</v>
      </c>
      <c r="I75" s="759"/>
      <c r="J75" s="760"/>
    </row>
    <row r="76" spans="2:10" x14ac:dyDescent="0.2">
      <c r="B76" s="110" t="str">
        <f>CONCATENATE("",E1-2,"/",E1-1,"/",E1," Budget Authority Amount:")</f>
        <v>2021/2022/2023 Budget Authority Amount:</v>
      </c>
      <c r="C76" s="428">
        <f>inputOth!B76</f>
        <v>0</v>
      </c>
      <c r="D76" s="591">
        <f>inputPrYr!D30</f>
        <v>0</v>
      </c>
      <c r="E76" s="139">
        <f>E74</f>
        <v>0</v>
      </c>
      <c r="G76" s="764">
        <f>'Budget Hearing Notice'!E43</f>
        <v>38.04</v>
      </c>
      <c r="H76" s="758" t="str">
        <f>CONCATENATE(E1-1," Total Mill Rate")</f>
        <v>2022 Total Mill Rate</v>
      </c>
      <c r="I76" s="759"/>
      <c r="J76" s="760"/>
    </row>
    <row r="77" spans="2:10" x14ac:dyDescent="0.2">
      <c r="B77" s="83"/>
      <c r="C77" s="881" t="s">
        <v>514</v>
      </c>
      <c r="D77" s="882"/>
      <c r="E77" s="25"/>
      <c r="G77" s="765"/>
      <c r="H77" s="766"/>
      <c r="I77" s="766"/>
      <c r="J77" s="767"/>
    </row>
    <row r="78" spans="2:10" ht="15.75" customHeight="1" x14ac:dyDescent="0.2">
      <c r="B78" s="301" t="str">
        <f>CONCATENATE(C99,"     ",D99)</f>
        <v xml:space="preserve">     </v>
      </c>
      <c r="C78" s="883" t="s">
        <v>515</v>
      </c>
      <c r="D78" s="884"/>
      <c r="E78" s="139">
        <f>E74+E77</f>
        <v>0</v>
      </c>
      <c r="G78" s="894" t="s">
        <v>971</v>
      </c>
      <c r="H78" s="895"/>
      <c r="I78" s="895"/>
      <c r="J78" s="898" t="str">
        <f>IF(G75&gt;G74, "Yes", "No")</f>
        <v>No</v>
      </c>
    </row>
    <row r="79" spans="2:10" x14ac:dyDescent="0.2">
      <c r="B79" s="301" t="str">
        <f>CONCATENATE(C100,"     ",D100)</f>
        <v xml:space="preserve">     </v>
      </c>
      <c r="C79" s="184"/>
      <c r="D79" s="108" t="s">
        <v>35</v>
      </c>
      <c r="E79" s="139">
        <f>IF(E78-E63&gt;0,E78-E63,0)</f>
        <v>0</v>
      </c>
      <c r="F79" s="183"/>
      <c r="G79" s="896"/>
      <c r="H79" s="897"/>
      <c r="I79" s="897"/>
      <c r="J79" s="899"/>
    </row>
    <row r="80" spans="2:10" x14ac:dyDescent="0.2">
      <c r="B80" s="108"/>
      <c r="C80" s="289" t="s">
        <v>516</v>
      </c>
      <c r="D80" s="497">
        <f>inputOth!$E$52</f>
        <v>0.03</v>
      </c>
      <c r="E80" s="139">
        <f>ROUND(IF(D80&gt;0,(E79*D80),0),0)</f>
        <v>0</v>
      </c>
      <c r="F80" s="586" t="str">
        <f>IF(E74/0.95-E74&lt;E77,"Exceeds 5%","")</f>
        <v/>
      </c>
      <c r="G80" s="900" t="str">
        <f>IF(J78="Yes", "Follow procedure prescribed by KSA 79-2988 to exceed the Revenue Neutral Rate.", " ")</f>
        <v xml:space="preserve"> </v>
      </c>
      <c r="H80" s="900"/>
      <c r="I80" s="900"/>
      <c r="J80" s="900"/>
    </row>
    <row r="81" spans="2:10" ht="16.5" thickBot="1" x14ac:dyDescent="0.25">
      <c r="B81" s="6"/>
      <c r="C81" s="874" t="str">
        <f>CONCATENATE("Amount of  ",$E$1-1," Ad Valorem Tax")</f>
        <v>Amount of  2022 Ad Valorem Tax</v>
      </c>
      <c r="D81" s="885"/>
      <c r="E81" s="199">
        <f>E79+E80</f>
        <v>0</v>
      </c>
      <c r="G81" s="901"/>
      <c r="H81" s="901"/>
      <c r="I81" s="901"/>
      <c r="J81" s="901"/>
    </row>
    <row r="82" spans="2:10" ht="16.5" thickTop="1" x14ac:dyDescent="0.2">
      <c r="B82" s="6"/>
      <c r="C82" s="906"/>
      <c r="D82" s="906"/>
      <c r="E82" s="6"/>
      <c r="G82" s="901"/>
      <c r="H82" s="901"/>
      <c r="I82" s="901"/>
      <c r="J82" s="901"/>
    </row>
    <row r="83" spans="2:10" x14ac:dyDescent="0.2">
      <c r="B83" s="727" t="s">
        <v>839</v>
      </c>
      <c r="C83" s="693"/>
      <c r="D83" s="693"/>
      <c r="E83" s="694"/>
    </row>
    <row r="84" spans="2:10" x14ac:dyDescent="0.2">
      <c r="B84" s="38"/>
      <c r="C84" s="290"/>
      <c r="D84" s="290"/>
      <c r="E84" s="546"/>
    </row>
    <row r="85" spans="2:10" x14ac:dyDescent="0.2">
      <c r="B85" s="462"/>
      <c r="C85" s="695"/>
      <c r="D85" s="695"/>
      <c r="E85" s="45"/>
    </row>
    <row r="86" spans="2:10" ht="15.75" customHeight="1" x14ac:dyDescent="0.2">
      <c r="B86" s="6"/>
      <c r="C86" s="6"/>
      <c r="D86" s="6"/>
      <c r="E86" s="6"/>
    </row>
    <row r="87" spans="2:10" ht="15.75" customHeight="1" x14ac:dyDescent="0.2">
      <c r="B87" s="83" t="s">
        <v>37</v>
      </c>
      <c r="C87" s="600">
        <v>11</v>
      </c>
      <c r="D87" s="6"/>
      <c r="E87" s="6"/>
    </row>
    <row r="97" spans="3:4" hidden="1" x14ac:dyDescent="0.2">
      <c r="C97" s="302" t="str">
        <f>IF(C35&gt;C37,"See Tab A","")</f>
        <v/>
      </c>
      <c r="D97" s="302" t="str">
        <f>IF(D35&gt;D37,"See Tab C","")</f>
        <v/>
      </c>
    </row>
    <row r="98" spans="3:4" hidden="1" x14ac:dyDescent="0.2">
      <c r="C98" s="302" t="str">
        <f>IF(C36&lt;0,"See Tab B","")</f>
        <v/>
      </c>
      <c r="D98" s="302" t="str">
        <f>IF(D36&lt;0,"See Tab D","")</f>
        <v/>
      </c>
    </row>
    <row r="99" spans="3:4" hidden="1" x14ac:dyDescent="0.2">
      <c r="C99" s="302" t="str">
        <f>IF(C74&gt;C76,"See Tab A","")</f>
        <v/>
      </c>
      <c r="D99" s="302" t="str">
        <f>IF(D74&gt;D76,"See Tab C","")</f>
        <v/>
      </c>
    </row>
    <row r="100" spans="3:4" hidden="1" x14ac:dyDescent="0.2">
      <c r="C100" s="302" t="str">
        <f>IF(C75&lt;0,"See Tab B","")</f>
        <v/>
      </c>
      <c r="D100" s="302" t="str">
        <f>IF(D75&lt;0,"See Tab D","")</f>
        <v/>
      </c>
    </row>
  </sheetData>
  <sheetProtection sheet="1" objects="1" scenarios="1"/>
  <mergeCells count="20">
    <mergeCell ref="G70:J71"/>
    <mergeCell ref="G78:I79"/>
    <mergeCell ref="J78:J79"/>
    <mergeCell ref="G80:J82"/>
    <mergeCell ref="G11:J11"/>
    <mergeCell ref="G18:J18"/>
    <mergeCell ref="G53:J53"/>
    <mergeCell ref="G60:J60"/>
    <mergeCell ref="G28:J29"/>
    <mergeCell ref="G36:I37"/>
    <mergeCell ref="J36:J37"/>
    <mergeCell ref="G38:J40"/>
    <mergeCell ref="C82:D82"/>
    <mergeCell ref="C43:D43"/>
    <mergeCell ref="C77:D77"/>
    <mergeCell ref="C78:D78"/>
    <mergeCell ref="C38:D38"/>
    <mergeCell ref="C39:D39"/>
    <mergeCell ref="C81:D81"/>
    <mergeCell ref="C42:D42"/>
  </mergeCells>
  <phoneticPr fontId="0" type="noConversion"/>
  <conditionalFormatting sqref="E33">
    <cfRule type="cellIs" dxfId="174" priority="7" stopIfTrue="1" operator="greaterThan">
      <formula>$E$35*0.1</formula>
    </cfRule>
  </conditionalFormatting>
  <conditionalFormatting sqref="E38">
    <cfRule type="cellIs" dxfId="173" priority="8" stopIfTrue="1" operator="greaterThan">
      <formula>$E$35/0.95-$E$35</formula>
    </cfRule>
  </conditionalFormatting>
  <conditionalFormatting sqref="E72">
    <cfRule type="cellIs" dxfId="172" priority="9" stopIfTrue="1" operator="greaterThan">
      <formula>$E$74*0.1</formula>
    </cfRule>
  </conditionalFormatting>
  <conditionalFormatting sqref="E77">
    <cfRule type="cellIs" dxfId="171" priority="10" stopIfTrue="1" operator="greaterThan">
      <formula>$E$74/0.95-$E$74</formula>
    </cfRule>
  </conditionalFormatting>
  <conditionalFormatting sqref="D35">
    <cfRule type="cellIs" dxfId="170" priority="11" stopIfTrue="1" operator="greaterThan">
      <formula>$D$37</formula>
    </cfRule>
  </conditionalFormatting>
  <conditionalFormatting sqref="C35">
    <cfRule type="cellIs" dxfId="169" priority="12" stopIfTrue="1" operator="greaterThan">
      <formula>$C$37</formula>
    </cfRule>
  </conditionalFormatting>
  <conditionalFormatting sqref="C36 C75">
    <cfRule type="cellIs" dxfId="168" priority="13" stopIfTrue="1" operator="lessThan">
      <formula>0</formula>
    </cfRule>
  </conditionalFormatting>
  <conditionalFormatting sqref="D74">
    <cfRule type="cellIs" dxfId="167" priority="14" stopIfTrue="1" operator="greaterThan">
      <formula>$D$76</formula>
    </cfRule>
  </conditionalFormatting>
  <conditionalFormatting sqref="C74">
    <cfRule type="cellIs" dxfId="166" priority="15" stopIfTrue="1" operator="greaterThan">
      <formula>$C$76</formula>
    </cfRule>
  </conditionalFormatting>
  <conditionalFormatting sqref="C72">
    <cfRule type="cellIs" dxfId="165" priority="16" stopIfTrue="1" operator="greaterThan">
      <formula>$C$74*0.1</formula>
    </cfRule>
  </conditionalFormatting>
  <conditionalFormatting sqref="D72">
    <cfRule type="cellIs" dxfId="164" priority="17" stopIfTrue="1" operator="greaterThan">
      <formula>$D$74*0.1</formula>
    </cfRule>
  </conditionalFormatting>
  <conditionalFormatting sqref="C33">
    <cfRule type="cellIs" dxfId="163" priority="18" stopIfTrue="1" operator="greaterThan">
      <formula>$C$35*0.1</formula>
    </cfRule>
  </conditionalFormatting>
  <conditionalFormatting sqref="D33">
    <cfRule type="cellIs" dxfId="162" priority="19" stopIfTrue="1" operator="greaterThan">
      <formula>$D$35*0.1</formula>
    </cfRule>
  </conditionalFormatting>
  <conditionalFormatting sqref="D60">
    <cfRule type="cellIs" dxfId="161" priority="20" stopIfTrue="1" operator="greaterThan">
      <formula>$D$62*0.1</formula>
    </cfRule>
  </conditionalFormatting>
  <conditionalFormatting sqref="C60">
    <cfRule type="cellIs" dxfId="160" priority="21" stopIfTrue="1" operator="greaterThan">
      <formula>$C$62*0.1</formula>
    </cfRule>
  </conditionalFormatting>
  <conditionalFormatting sqref="D21">
    <cfRule type="cellIs" dxfId="159" priority="22" stopIfTrue="1" operator="greaterThan">
      <formula>$D$23*0.1</formula>
    </cfRule>
  </conditionalFormatting>
  <conditionalFormatting sqref="C21">
    <cfRule type="cellIs" dxfId="158" priority="23" stopIfTrue="1" operator="greaterThan">
      <formula>$C$23*0.1</formula>
    </cfRule>
  </conditionalFormatting>
  <conditionalFormatting sqref="E60">
    <cfRule type="cellIs" dxfId="157" priority="24" stopIfTrue="1" operator="greaterThan">
      <formula>$E$62*0.1+E81</formula>
    </cfRule>
  </conditionalFormatting>
  <conditionalFormatting sqref="E21">
    <cfRule type="cellIs" dxfId="156" priority="25" stopIfTrue="1" operator="greaterThan">
      <formula>$E$23*0.1+E42</formula>
    </cfRule>
  </conditionalFormatting>
  <conditionalFormatting sqref="D75 D36">
    <cfRule type="cellIs" dxfId="155" priority="4" stopIfTrue="1" operator="lessThan">
      <formula>0</formula>
    </cfRule>
    <cfRule type="cellIs" dxfId="154" priority="6" stopIfTrue="1" operator="lessThan">
      <formula>0</formula>
    </cfRule>
  </conditionalFormatting>
  <conditionalFormatting sqref="J36">
    <cfRule type="containsText" dxfId="153" priority="2" operator="containsText" text="Yes">
      <formula>NOT(ISERROR(SEARCH("Yes",J36)))</formula>
    </cfRule>
  </conditionalFormatting>
  <conditionalFormatting sqref="J78">
    <cfRule type="containsText" dxfId="152" priority="1" operator="containsText" text="Yes">
      <formula>NOT(ISERROR(SEARCH("Yes",J78)))</formula>
    </cfRule>
  </conditionalFormatting>
  <pageMargins left="0.5" right="0.5" top="1" bottom="0.5" header="0.5" footer="0.5"/>
  <pageSetup scale="57" orientation="portrait" blackAndWhite="1" horizontalDpi="120" verticalDpi="144" r:id="rId1"/>
  <headerFooter alignWithMargins="0">
    <oddHeader xml:space="preserve">&amp;RState of Kansas
City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98"/>
  <sheetViews>
    <sheetView topLeftCell="A64" zoomScale="90" zoomScaleNormal="90" workbookViewId="0">
      <selection activeCell="E20" sqref="E20"/>
    </sheetView>
  </sheetViews>
  <sheetFormatPr defaultRowHeight="15.75" x14ac:dyDescent="0.2"/>
  <cols>
    <col min="1" max="1" width="15.77734375" style="7" customWidth="1"/>
    <col min="2" max="2" width="21.109375" style="7" customWidth="1"/>
    <col min="3" max="3" width="9.77734375" style="7" customWidth="1"/>
    <col min="4" max="4" width="15.109375" style="7" customWidth="1"/>
    <col min="5" max="5" width="15.77734375" style="7" customWidth="1"/>
    <col min="6" max="6" width="1.88671875" style="7" customWidth="1"/>
    <col min="7" max="7" width="18.6640625" style="7" customWidth="1"/>
    <col min="8" max="16384" width="8.88671875" style="7"/>
  </cols>
  <sheetData>
    <row r="1" spans="1:8" x14ac:dyDescent="0.2">
      <c r="A1" s="811" t="s">
        <v>800</v>
      </c>
      <c r="B1" s="812"/>
      <c r="C1" s="812"/>
      <c r="D1" s="812"/>
      <c r="E1" s="812"/>
    </row>
    <row r="2" spans="1:8" x14ac:dyDescent="0.2">
      <c r="A2" s="5"/>
      <c r="B2" s="6"/>
      <c r="C2" s="6"/>
      <c r="D2" s="6"/>
      <c r="E2" s="6"/>
    </row>
    <row r="3" spans="1:8" x14ac:dyDescent="0.2">
      <c r="A3" s="627" t="s">
        <v>801</v>
      </c>
      <c r="B3" s="6"/>
      <c r="C3" s="6"/>
      <c r="D3" s="820" t="s">
        <v>1046</v>
      </c>
      <c r="E3" s="821"/>
    </row>
    <row r="4" spans="1:8" x14ac:dyDescent="0.2">
      <c r="A4" s="627" t="s">
        <v>802</v>
      </c>
      <c r="B4" s="6"/>
      <c r="C4" s="6"/>
      <c r="D4" s="820" t="s">
        <v>1047</v>
      </c>
      <c r="E4" s="821"/>
    </row>
    <row r="5" spans="1:8" x14ac:dyDescent="0.2">
      <c r="A5" s="628"/>
      <c r="B5" s="6"/>
      <c r="C5" s="6"/>
      <c r="D5" s="10"/>
      <c r="E5" s="6"/>
    </row>
    <row r="6" spans="1:8" x14ac:dyDescent="0.2">
      <c r="A6" s="627" t="s">
        <v>803</v>
      </c>
      <c r="B6" s="6"/>
      <c r="C6" s="11">
        <v>2023</v>
      </c>
      <c r="D6" s="10"/>
      <c r="E6" s="6"/>
    </row>
    <row r="7" spans="1:8" x14ac:dyDescent="0.2">
      <c r="A7" s="627"/>
      <c r="B7" s="6"/>
      <c r="C7" s="6"/>
      <c r="D7" s="10"/>
      <c r="E7" s="6"/>
    </row>
    <row r="8" spans="1:8" x14ac:dyDescent="0.2">
      <c r="A8" s="6"/>
      <c r="B8" s="6"/>
      <c r="C8" s="6"/>
      <c r="D8" s="6"/>
      <c r="E8" s="6"/>
    </row>
    <row r="9" spans="1:8" x14ac:dyDescent="0.2">
      <c r="A9" s="813" t="s">
        <v>804</v>
      </c>
      <c r="B9" s="813"/>
      <c r="C9" s="813"/>
      <c r="D9" s="813"/>
      <c r="E9" s="813"/>
    </row>
    <row r="10" spans="1:8" x14ac:dyDescent="0.2">
      <c r="A10" s="813"/>
      <c r="B10" s="813"/>
      <c r="C10" s="813"/>
      <c r="D10" s="813"/>
      <c r="E10" s="813"/>
    </row>
    <row r="11" spans="1:8" x14ac:dyDescent="0.2">
      <c r="A11" s="813"/>
      <c r="B11" s="813"/>
      <c r="C11" s="813"/>
      <c r="D11" s="813"/>
      <c r="E11" s="813"/>
    </row>
    <row r="12" spans="1:8" x14ac:dyDescent="0.2">
      <c r="A12" s="809" t="s">
        <v>805</v>
      </c>
      <c r="B12" s="810"/>
      <c r="C12" s="810"/>
      <c r="D12" s="810"/>
      <c r="E12" s="810"/>
    </row>
    <row r="13" spans="1:8" ht="15.75" customHeight="1" x14ac:dyDescent="0.2">
      <c r="A13" s="15"/>
      <c r="B13" s="15"/>
      <c r="C13" s="15"/>
      <c r="D13" s="15"/>
      <c r="E13" s="15"/>
      <c r="F13" s="460"/>
      <c r="G13" s="814" t="s">
        <v>806</v>
      </c>
      <c r="H13" s="815"/>
    </row>
    <row r="14" spans="1:8" x14ac:dyDescent="0.2">
      <c r="A14" s="633" t="s">
        <v>176</v>
      </c>
      <c r="B14" s="632"/>
      <c r="C14" s="6"/>
      <c r="D14" s="6"/>
      <c r="E14" s="6"/>
      <c r="F14" s="460"/>
      <c r="G14" s="816"/>
      <c r="H14" s="817"/>
    </row>
    <row r="15" spans="1:8" x14ac:dyDescent="0.2">
      <c r="A15" s="631" t="str">
        <f>CONCATENATE("the ",C6-1," Budget, Certificate Page:")</f>
        <v>the 2022 Budget, Certificate Page:</v>
      </c>
      <c r="B15" s="630"/>
      <c r="C15" s="16"/>
      <c r="D15" s="6"/>
      <c r="E15" s="6"/>
      <c r="F15" s="460"/>
      <c r="G15" s="816"/>
      <c r="H15" s="817"/>
    </row>
    <row r="16" spans="1:8" x14ac:dyDescent="0.2">
      <c r="A16" s="629" t="s">
        <v>259</v>
      </c>
      <c r="B16" s="604"/>
      <c r="C16" s="16"/>
      <c r="D16" s="6"/>
      <c r="E16" s="6"/>
      <c r="F16" s="460"/>
      <c r="G16" s="816"/>
      <c r="H16" s="817"/>
    </row>
    <row r="17" spans="1:8" x14ac:dyDescent="0.2">
      <c r="A17" s="17"/>
      <c r="B17" s="6"/>
      <c r="C17" s="6"/>
      <c r="D17" s="18">
        <f>C6-1</f>
        <v>2022</v>
      </c>
      <c r="E17" s="19">
        <f>$C$6-2</f>
        <v>2021</v>
      </c>
      <c r="F17" s="460"/>
      <c r="G17" s="816"/>
      <c r="H17" s="817"/>
    </row>
    <row r="18" spans="1:8" x14ac:dyDescent="0.2">
      <c r="A18" s="9" t="s">
        <v>244</v>
      </c>
      <c r="B18" s="6"/>
      <c r="C18" s="20" t="s">
        <v>245</v>
      </c>
      <c r="D18" s="21" t="s">
        <v>258</v>
      </c>
      <c r="E18" s="22" t="s">
        <v>242</v>
      </c>
      <c r="F18" s="460"/>
      <c r="G18" s="816"/>
      <c r="H18" s="817"/>
    </row>
    <row r="19" spans="1:8" x14ac:dyDescent="0.2">
      <c r="A19" s="6"/>
      <c r="B19" s="23" t="s">
        <v>246</v>
      </c>
      <c r="C19" s="101" t="s">
        <v>102</v>
      </c>
      <c r="D19" s="25">
        <v>692265</v>
      </c>
      <c r="E19" s="26">
        <v>244504</v>
      </c>
      <c r="F19" s="460"/>
      <c r="G19" s="818"/>
      <c r="H19" s="819"/>
    </row>
    <row r="20" spans="1:8" x14ac:dyDescent="0.2">
      <c r="A20" s="6"/>
      <c r="B20" s="23" t="s">
        <v>218</v>
      </c>
      <c r="C20" s="101" t="s">
        <v>117</v>
      </c>
      <c r="D20" s="25"/>
      <c r="E20" s="26"/>
      <c r="F20" s="635"/>
      <c r="G20" s="471" t="s">
        <v>663</v>
      </c>
      <c r="H20" s="101" t="s">
        <v>36</v>
      </c>
    </row>
    <row r="21" spans="1:8" x14ac:dyDescent="0.2">
      <c r="A21" s="6"/>
      <c r="B21" s="23" t="s">
        <v>662</v>
      </c>
      <c r="C21" s="101" t="s">
        <v>661</v>
      </c>
      <c r="D21" s="25"/>
      <c r="E21" s="26"/>
      <c r="F21" s="635"/>
      <c r="G21" s="472" t="str">
        <f>CONCATENATE("",E17," Ad Valorem Tax")</f>
        <v>2021 Ad Valorem Tax</v>
      </c>
      <c r="H21" s="585">
        <v>0</v>
      </c>
    </row>
    <row r="22" spans="1:8" x14ac:dyDescent="0.2">
      <c r="A22" s="9" t="s">
        <v>175</v>
      </c>
      <c r="B22" s="6"/>
      <c r="C22" s="6"/>
      <c r="D22" s="27"/>
      <c r="E22" s="28"/>
      <c r="F22" s="635"/>
      <c r="G22" s="470">
        <f>IF(H21&gt;0,ROUND(E19-(E19*H$21),0),0)</f>
        <v>0</v>
      </c>
    </row>
    <row r="23" spans="1:8" x14ac:dyDescent="0.2">
      <c r="A23" s="6"/>
      <c r="B23" s="544" t="s">
        <v>1048</v>
      </c>
      <c r="C23" s="312"/>
      <c r="D23" s="26">
        <v>108000</v>
      </c>
      <c r="E23" s="26"/>
      <c r="F23" s="635"/>
      <c r="G23" s="470">
        <f>IF(H21&gt;0,ROUND(E20-(E20*H21),0),0)</f>
        <v>0</v>
      </c>
    </row>
    <row r="24" spans="1:8" x14ac:dyDescent="0.2">
      <c r="A24" s="6"/>
      <c r="B24" s="29"/>
      <c r="C24" s="313"/>
      <c r="D24" s="26"/>
      <c r="E24" s="26"/>
      <c r="F24" s="635"/>
      <c r="G24" s="470">
        <f>IF(H$21&gt;0,ROUND(E21-(E21*H$21),0),0)</f>
        <v>0</v>
      </c>
    </row>
    <row r="25" spans="1:8" x14ac:dyDescent="0.2">
      <c r="A25" s="6"/>
      <c r="B25" s="29"/>
      <c r="C25" s="313"/>
      <c r="D25" s="26"/>
      <c r="E25" s="26"/>
      <c r="F25" s="635"/>
      <c r="G25" s="28"/>
    </row>
    <row r="26" spans="1:8" x14ac:dyDescent="0.2">
      <c r="A26" s="6"/>
      <c r="B26" s="29"/>
      <c r="C26" s="313"/>
      <c r="D26" s="26"/>
      <c r="E26" s="26"/>
      <c r="F26" s="635"/>
      <c r="G26" s="470">
        <f t="shared" ref="G26:G35" si="0">IF(H$21&gt;0,ROUND(E23-(E23*H$21),0),0)</f>
        <v>0</v>
      </c>
    </row>
    <row r="27" spans="1:8" x14ac:dyDescent="0.2">
      <c r="A27" s="6"/>
      <c r="B27" s="29"/>
      <c r="C27" s="313"/>
      <c r="D27" s="26"/>
      <c r="E27" s="26"/>
      <c r="F27" s="635"/>
      <c r="G27" s="470">
        <f t="shared" si="0"/>
        <v>0</v>
      </c>
    </row>
    <row r="28" spans="1:8" x14ac:dyDescent="0.2">
      <c r="A28" s="6"/>
      <c r="B28" s="29"/>
      <c r="C28" s="313"/>
      <c r="D28" s="26"/>
      <c r="E28" s="26"/>
      <c r="F28" s="635"/>
      <c r="G28" s="470">
        <f t="shared" si="0"/>
        <v>0</v>
      </c>
    </row>
    <row r="29" spans="1:8" x14ac:dyDescent="0.2">
      <c r="A29" s="6"/>
      <c r="B29" s="29"/>
      <c r="C29" s="313"/>
      <c r="D29" s="26"/>
      <c r="E29" s="26"/>
      <c r="F29" s="635"/>
      <c r="G29" s="470">
        <f t="shared" si="0"/>
        <v>0</v>
      </c>
    </row>
    <row r="30" spans="1:8" x14ac:dyDescent="0.2">
      <c r="A30" s="6"/>
      <c r="B30" s="29"/>
      <c r="C30" s="313"/>
      <c r="D30" s="26"/>
      <c r="E30" s="26"/>
      <c r="F30" s="635"/>
      <c r="G30" s="470">
        <f t="shared" si="0"/>
        <v>0</v>
      </c>
    </row>
    <row r="31" spans="1:8" x14ac:dyDescent="0.2">
      <c r="A31" s="6"/>
      <c r="B31" s="29"/>
      <c r="C31" s="313"/>
      <c r="D31" s="26"/>
      <c r="E31" s="26"/>
      <c r="F31" s="635"/>
      <c r="G31" s="470">
        <f t="shared" si="0"/>
        <v>0</v>
      </c>
    </row>
    <row r="32" spans="1:8" x14ac:dyDescent="0.2">
      <c r="A32" s="6"/>
      <c r="B32" s="29"/>
      <c r="C32" s="313"/>
      <c r="D32" s="26"/>
      <c r="E32" s="26"/>
      <c r="F32" s="635"/>
      <c r="G32" s="470">
        <f t="shared" si="0"/>
        <v>0</v>
      </c>
    </row>
    <row r="33" spans="1:7" x14ac:dyDescent="0.2">
      <c r="A33" s="30" t="str">
        <f>CONCATENATE("Total Tax Levy Funds for ",C6-1," Budgeted Year")</f>
        <v>Total Tax Levy Funds for 2022 Budgeted Year</v>
      </c>
      <c r="B33" s="31"/>
      <c r="C33" s="31"/>
      <c r="D33" s="32"/>
      <c r="E33" s="33">
        <f>SUM(E19:E32)</f>
        <v>244504</v>
      </c>
      <c r="F33" s="635"/>
      <c r="G33" s="470">
        <f t="shared" si="0"/>
        <v>0</v>
      </c>
    </row>
    <row r="34" spans="1:7" x14ac:dyDescent="0.2">
      <c r="A34" s="9"/>
      <c r="B34" s="6"/>
      <c r="C34" s="6"/>
      <c r="D34" s="34"/>
      <c r="E34" s="28"/>
      <c r="F34" s="635"/>
      <c r="G34" s="470">
        <f t="shared" si="0"/>
        <v>0</v>
      </c>
    </row>
    <row r="35" spans="1:7" x14ac:dyDescent="0.2">
      <c r="A35" s="9" t="s">
        <v>118</v>
      </c>
      <c r="B35" s="6"/>
      <c r="C35" s="6"/>
      <c r="D35" s="6"/>
      <c r="E35" s="6"/>
      <c r="F35" s="635"/>
      <c r="G35" s="470">
        <f t="shared" si="0"/>
        <v>0</v>
      </c>
    </row>
    <row r="36" spans="1:7" x14ac:dyDescent="0.2">
      <c r="A36" s="6"/>
      <c r="B36" s="35" t="s">
        <v>93</v>
      </c>
      <c r="C36" s="36"/>
      <c r="D36" s="25">
        <v>90000</v>
      </c>
      <c r="E36" s="36"/>
    </row>
    <row r="37" spans="1:7" x14ac:dyDescent="0.2">
      <c r="A37" s="6"/>
      <c r="B37" s="545" t="s">
        <v>1049</v>
      </c>
      <c r="C37" s="36"/>
      <c r="D37" s="25">
        <v>0</v>
      </c>
      <c r="E37" s="36"/>
    </row>
    <row r="38" spans="1:7" x14ac:dyDescent="0.2">
      <c r="A38" s="6"/>
      <c r="B38" s="545" t="s">
        <v>1050</v>
      </c>
      <c r="C38" s="36"/>
      <c r="D38" s="25">
        <v>281660</v>
      </c>
      <c r="E38" s="36"/>
    </row>
    <row r="39" spans="1:7" x14ac:dyDescent="0.2">
      <c r="A39" s="6"/>
      <c r="B39" s="545" t="s">
        <v>1051</v>
      </c>
      <c r="C39" s="36"/>
      <c r="D39" s="25">
        <v>287800</v>
      </c>
      <c r="E39" s="36"/>
    </row>
    <row r="40" spans="1:7" x14ac:dyDescent="0.2">
      <c r="A40" s="6"/>
      <c r="B40" s="545" t="s">
        <v>1052</v>
      </c>
      <c r="C40" s="36"/>
      <c r="D40" s="25">
        <v>115000</v>
      </c>
      <c r="E40" s="36"/>
    </row>
    <row r="41" spans="1:7" x14ac:dyDescent="0.2">
      <c r="A41" s="6"/>
      <c r="B41" s="545"/>
      <c r="C41" s="36"/>
      <c r="D41" s="25"/>
      <c r="E41" s="36"/>
    </row>
    <row r="42" spans="1:7" x14ac:dyDescent="0.2">
      <c r="A42" s="37"/>
      <c r="B42" s="544"/>
      <c r="C42" s="38"/>
      <c r="D42" s="25"/>
      <c r="E42" s="39"/>
    </row>
    <row r="43" spans="1:7" x14ac:dyDescent="0.2">
      <c r="A43" s="37"/>
      <c r="B43" s="544"/>
      <c r="C43" s="36"/>
      <c r="D43" s="25"/>
      <c r="E43" s="39"/>
    </row>
    <row r="44" spans="1:7" x14ac:dyDescent="0.2">
      <c r="A44" s="37"/>
      <c r="B44" s="39"/>
      <c r="C44" s="36"/>
      <c r="D44" s="39"/>
      <c r="E44" s="39"/>
    </row>
    <row r="45" spans="1:7" x14ac:dyDescent="0.2">
      <c r="A45" s="37" t="s">
        <v>157</v>
      </c>
      <c r="B45" s="36"/>
      <c r="C45" s="36"/>
      <c r="D45" s="36"/>
      <c r="E45" s="39"/>
    </row>
    <row r="46" spans="1:7" x14ac:dyDescent="0.2">
      <c r="A46" s="40">
        <v>1</v>
      </c>
      <c r="B46" s="544"/>
      <c r="C46" s="36"/>
      <c r="D46" s="25"/>
      <c r="E46" s="39"/>
    </row>
    <row r="47" spans="1:7" x14ac:dyDescent="0.2">
      <c r="A47" s="40">
        <v>2</v>
      </c>
      <c r="B47" s="544"/>
      <c r="C47" s="36"/>
      <c r="D47" s="25"/>
      <c r="E47" s="39"/>
    </row>
    <row r="48" spans="1:7" x14ac:dyDescent="0.2">
      <c r="A48" s="40">
        <v>3</v>
      </c>
      <c r="B48" s="544"/>
      <c r="C48" s="36"/>
      <c r="D48" s="25"/>
      <c r="E48" s="39"/>
    </row>
    <row r="49" spans="1:5" x14ac:dyDescent="0.2">
      <c r="A49" s="40">
        <v>4</v>
      </c>
      <c r="B49" s="544"/>
      <c r="C49" s="36"/>
      <c r="D49" s="25"/>
      <c r="E49" s="39"/>
    </row>
    <row r="50" spans="1:5" x14ac:dyDescent="0.2">
      <c r="A50" s="30" t="str">
        <f>CONCATENATE("Total Expenditures for ",C6-1," Budgeted Year")</f>
        <v>Total Expenditures for 2022 Budgeted Year</v>
      </c>
      <c r="B50" s="31"/>
      <c r="C50" s="31"/>
      <c r="D50" s="33">
        <f>SUM(D19:D21,D23:D32,D36:D43,D46:D49)</f>
        <v>1574725</v>
      </c>
      <c r="E50" s="6"/>
    </row>
    <row r="51" spans="1:5" x14ac:dyDescent="0.2">
      <c r="A51" s="37"/>
      <c r="B51" s="36"/>
      <c r="C51" s="36"/>
      <c r="D51" s="6"/>
      <c r="E51" s="6"/>
    </row>
    <row r="52" spans="1:5" x14ac:dyDescent="0.2">
      <c r="A52" s="37" t="s">
        <v>158</v>
      </c>
      <c r="B52" s="36"/>
      <c r="C52" s="36"/>
      <c r="D52" s="36"/>
      <c r="E52" s="6"/>
    </row>
    <row r="53" spans="1:5" x14ac:dyDescent="0.2">
      <c r="A53" s="40">
        <v>1</v>
      </c>
      <c r="B53" s="544" t="s">
        <v>1055</v>
      </c>
      <c r="C53" s="36"/>
      <c r="D53" s="36"/>
      <c r="E53" s="6"/>
    </row>
    <row r="54" spans="1:5" x14ac:dyDescent="0.2">
      <c r="A54" s="40">
        <v>2</v>
      </c>
      <c r="B54" s="544" t="s">
        <v>1059</v>
      </c>
      <c r="C54" s="36"/>
      <c r="D54" s="36"/>
      <c r="E54" s="6"/>
    </row>
    <row r="55" spans="1:5" x14ac:dyDescent="0.2">
      <c r="A55" s="40">
        <v>3</v>
      </c>
      <c r="B55" s="544" t="s">
        <v>1054</v>
      </c>
      <c r="C55" s="36"/>
      <c r="D55" s="36"/>
      <c r="E55" s="6"/>
    </row>
    <row r="56" spans="1:5" x14ac:dyDescent="0.2">
      <c r="A56" s="40">
        <v>4</v>
      </c>
      <c r="B56" s="544" t="s">
        <v>1056</v>
      </c>
      <c r="C56" s="36"/>
      <c r="D56" s="36"/>
      <c r="E56" s="6"/>
    </row>
    <row r="57" spans="1:5" x14ac:dyDescent="0.2">
      <c r="A57" s="40">
        <v>5</v>
      </c>
      <c r="B57" s="544" t="s">
        <v>1057</v>
      </c>
      <c r="C57" s="36"/>
      <c r="D57" s="36"/>
      <c r="E57" s="6"/>
    </row>
    <row r="58" spans="1:5" x14ac:dyDescent="0.2">
      <c r="A58" s="37" t="s">
        <v>135</v>
      </c>
      <c r="B58" s="36"/>
      <c r="C58" s="36"/>
      <c r="D58" s="36"/>
      <c r="E58" s="6"/>
    </row>
    <row r="59" spans="1:5" x14ac:dyDescent="0.2">
      <c r="A59" s="40">
        <v>1</v>
      </c>
      <c r="B59" s="544" t="s">
        <v>1058</v>
      </c>
      <c r="C59" s="36"/>
      <c r="D59" s="36"/>
      <c r="E59" s="6"/>
    </row>
    <row r="60" spans="1:5" x14ac:dyDescent="0.2">
      <c r="A60" s="40">
        <v>2</v>
      </c>
      <c r="B60" s="544"/>
      <c r="C60" s="36"/>
      <c r="D60" s="36"/>
      <c r="E60" s="6"/>
    </row>
    <row r="61" spans="1:5" x14ac:dyDescent="0.2">
      <c r="A61" s="40">
        <v>3</v>
      </c>
      <c r="B61" s="544"/>
      <c r="C61" s="36"/>
      <c r="D61" s="36"/>
      <c r="E61" s="6"/>
    </row>
    <row r="62" spans="1:5" x14ac:dyDescent="0.2">
      <c r="A62" s="40">
        <v>4</v>
      </c>
      <c r="B62" s="544"/>
      <c r="C62" s="36"/>
      <c r="D62" s="36"/>
      <c r="E62" s="6"/>
    </row>
    <row r="63" spans="1:5" x14ac:dyDescent="0.2">
      <c r="A63" s="40">
        <v>5</v>
      </c>
      <c r="B63" s="544"/>
      <c r="C63" s="6"/>
      <c r="D63" s="6"/>
      <c r="E63" s="6"/>
    </row>
    <row r="64" spans="1:5" x14ac:dyDescent="0.2">
      <c r="A64" s="6"/>
      <c r="B64" s="6"/>
      <c r="C64" s="6"/>
      <c r="D64" s="608" t="str">
        <f>CONCATENATE("",C6-3," Tax Rate")</f>
        <v>2020 Tax Rate</v>
      </c>
      <c r="E64" s="6"/>
    </row>
    <row r="65" spans="1:5" x14ac:dyDescent="0.2">
      <c r="A65" s="606" t="str">
        <f>CONCATENATE("From the ",C6-1," Budget, Budget Summary Page")</f>
        <v>From the 2022 Budget, Budget Summary Page</v>
      </c>
      <c r="B65" s="607"/>
      <c r="C65" s="6"/>
      <c r="D65" s="609" t="str">
        <f>CONCATENATE("(",C6-2," Column)")</f>
        <v>(2021 Column)</v>
      </c>
      <c r="E65" s="6"/>
    </row>
    <row r="66" spans="1:5" ht="18" customHeight="1" x14ac:dyDescent="0.2">
      <c r="A66" s="6"/>
      <c r="B66" s="605" t="str">
        <f>B19</f>
        <v>General</v>
      </c>
      <c r="C66" s="42"/>
      <c r="D66" s="43">
        <v>38.761000000000003</v>
      </c>
      <c r="E66" s="6"/>
    </row>
    <row r="67" spans="1:5" x14ac:dyDescent="0.2">
      <c r="A67" s="6"/>
      <c r="B67" s="41" t="str">
        <f>B20</f>
        <v>Debt Service</v>
      </c>
      <c r="C67" s="42"/>
      <c r="D67" s="43"/>
      <c r="E67" s="6"/>
    </row>
    <row r="68" spans="1:5" x14ac:dyDescent="0.2">
      <c r="A68" s="6"/>
      <c r="B68" s="41" t="str">
        <f>B21</f>
        <v>Library</v>
      </c>
      <c r="C68" s="24"/>
      <c r="D68" s="43"/>
      <c r="E68" s="6"/>
    </row>
    <row r="69" spans="1:5" x14ac:dyDescent="0.2">
      <c r="A69" s="6"/>
      <c r="B69" s="41" t="str">
        <f t="shared" ref="B69:B78" si="1">B23</f>
        <v>Bond &amp; Interest</v>
      </c>
      <c r="C69" s="24"/>
      <c r="D69" s="43"/>
      <c r="E69" s="6"/>
    </row>
    <row r="70" spans="1:5" x14ac:dyDescent="0.2">
      <c r="A70" s="6"/>
      <c r="B70" s="41">
        <f t="shared" si="1"/>
        <v>0</v>
      </c>
      <c r="C70" s="24"/>
      <c r="D70" s="43"/>
      <c r="E70" s="6"/>
    </row>
    <row r="71" spans="1:5" x14ac:dyDescent="0.2">
      <c r="A71" s="6"/>
      <c r="B71" s="41">
        <f t="shared" si="1"/>
        <v>0</v>
      </c>
      <c r="C71" s="24"/>
      <c r="D71" s="43"/>
      <c r="E71" s="6"/>
    </row>
    <row r="72" spans="1:5" x14ac:dyDescent="0.2">
      <c r="A72" s="6"/>
      <c r="B72" s="41">
        <f t="shared" si="1"/>
        <v>0</v>
      </c>
      <c r="C72" s="24"/>
      <c r="D72" s="43"/>
      <c r="E72" s="6"/>
    </row>
    <row r="73" spans="1:5" x14ac:dyDescent="0.2">
      <c r="A73" s="6"/>
      <c r="B73" s="41">
        <f t="shared" si="1"/>
        <v>0</v>
      </c>
      <c r="C73" s="24"/>
      <c r="D73" s="43"/>
      <c r="E73" s="6"/>
    </row>
    <row r="74" spans="1:5" x14ac:dyDescent="0.2">
      <c r="A74" s="6"/>
      <c r="B74" s="41">
        <f t="shared" si="1"/>
        <v>0</v>
      </c>
      <c r="C74" s="24"/>
      <c r="D74" s="43"/>
      <c r="E74" s="6"/>
    </row>
    <row r="75" spans="1:5" x14ac:dyDescent="0.2">
      <c r="A75" s="6"/>
      <c r="B75" s="41">
        <f t="shared" si="1"/>
        <v>0</v>
      </c>
      <c r="C75" s="24"/>
      <c r="D75" s="43"/>
      <c r="E75" s="6"/>
    </row>
    <row r="76" spans="1:5" x14ac:dyDescent="0.2">
      <c r="A76" s="6"/>
      <c r="B76" s="41">
        <f t="shared" si="1"/>
        <v>0</v>
      </c>
      <c r="C76" s="24"/>
      <c r="D76" s="43"/>
      <c r="E76" s="6"/>
    </row>
    <row r="77" spans="1:5" x14ac:dyDescent="0.2">
      <c r="A77" s="6"/>
      <c r="B77" s="41">
        <f t="shared" si="1"/>
        <v>0</v>
      </c>
      <c r="C77" s="24"/>
      <c r="D77" s="43"/>
      <c r="E77" s="6"/>
    </row>
    <row r="78" spans="1:5" x14ac:dyDescent="0.2">
      <c r="A78" s="6"/>
      <c r="B78" s="41">
        <f t="shared" si="1"/>
        <v>0</v>
      </c>
      <c r="C78" s="24"/>
      <c r="D78" s="43"/>
      <c r="E78" s="6"/>
    </row>
    <row r="79" spans="1:5" x14ac:dyDescent="0.2">
      <c r="A79" s="9" t="s">
        <v>247</v>
      </c>
      <c r="B79" s="6"/>
      <c r="C79" s="6"/>
      <c r="D79" s="44">
        <f>SUM(D66:D78)</f>
        <v>38.761000000000003</v>
      </c>
      <c r="E79" s="6"/>
    </row>
    <row r="80" spans="1:5" x14ac:dyDescent="0.2">
      <c r="A80" s="6"/>
      <c r="B80" s="6"/>
      <c r="C80" s="6"/>
      <c r="D80" s="6"/>
      <c r="E80" s="6"/>
    </row>
    <row r="81" spans="1:5" x14ac:dyDescent="0.2">
      <c r="A81" s="610" t="str">
        <f>CONCATENATE("Total Tax Levied (",C6-2," budget column)")</f>
        <v>Total Tax Levied (2021 budget column)</v>
      </c>
      <c r="B81" s="607"/>
      <c r="C81" s="31"/>
      <c r="D81" s="45"/>
      <c r="E81" s="26">
        <v>244504</v>
      </c>
    </row>
    <row r="82" spans="1:5" x14ac:dyDescent="0.2">
      <c r="A82" s="611" t="str">
        <f>CONCATENATE("Assessed Valuation  (",C6-2," budget column)")</f>
        <v>Assessed Valuation  (2021 budget column)</v>
      </c>
      <c r="B82" s="607"/>
      <c r="C82" s="47"/>
      <c r="D82" s="48"/>
      <c r="E82" s="26">
        <v>6416273</v>
      </c>
    </row>
    <row r="83" spans="1:5" x14ac:dyDescent="0.2">
      <c r="A83" s="6"/>
      <c r="B83" s="6"/>
      <c r="C83" s="6"/>
      <c r="D83" s="16"/>
      <c r="E83" s="27"/>
    </row>
    <row r="84" spans="1:5" x14ac:dyDescent="0.2">
      <c r="A84" s="612" t="s">
        <v>184</v>
      </c>
      <c r="B84" s="632"/>
      <c r="C84" s="49"/>
      <c r="D84" s="50">
        <f>C6-3</f>
        <v>2020</v>
      </c>
      <c r="E84" s="51">
        <f>C6-2</f>
        <v>2021</v>
      </c>
    </row>
    <row r="85" spans="1:5" x14ac:dyDescent="0.2">
      <c r="A85" s="613" t="s">
        <v>119</v>
      </c>
      <c r="B85" s="614"/>
      <c r="C85" s="52"/>
      <c r="D85" s="25">
        <v>1495000</v>
      </c>
      <c r="E85" s="25">
        <v>1430000</v>
      </c>
    </row>
    <row r="86" spans="1:5" x14ac:dyDescent="0.2">
      <c r="A86" s="615" t="s">
        <v>120</v>
      </c>
      <c r="B86" s="607"/>
      <c r="C86" s="53"/>
      <c r="D86" s="25"/>
      <c r="E86" s="25"/>
    </row>
    <row r="87" spans="1:5" x14ac:dyDescent="0.2">
      <c r="A87" s="615" t="s">
        <v>121</v>
      </c>
      <c r="B87" s="607"/>
      <c r="C87" s="53"/>
      <c r="D87" s="25"/>
      <c r="E87" s="25"/>
    </row>
    <row r="88" spans="1:5" x14ac:dyDescent="0.2">
      <c r="A88" s="615" t="s">
        <v>122</v>
      </c>
      <c r="B88" s="607"/>
      <c r="C88" s="53"/>
      <c r="D88" s="25"/>
      <c r="E88" s="25"/>
    </row>
    <row r="98" spans="1:5" s="54" customFormat="1" x14ac:dyDescent="0.2">
      <c r="A98" s="7"/>
      <c r="B98" s="7"/>
      <c r="C98" s="7"/>
      <c r="D98" s="7"/>
      <c r="E98" s="7"/>
    </row>
  </sheetData>
  <sheetProtection sheet="1"/>
  <mergeCells count="6">
    <mergeCell ref="A12:E12"/>
    <mergeCell ref="A1:E1"/>
    <mergeCell ref="A9:E11"/>
    <mergeCell ref="G13:H19"/>
    <mergeCell ref="D3:E3"/>
    <mergeCell ref="D4:E4"/>
  </mergeCells>
  <phoneticPr fontId="0" type="noConversion"/>
  <pageMargins left="0.5" right="0.5" top="1" bottom="0.5" header="0.5" footer="0.25"/>
  <pageSetup scale="78" fitToHeight="2"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rgb="FF00B0F0"/>
    <pageSetUpPr fitToPage="1"/>
  </sheetPr>
  <dimension ref="B1:L100"/>
  <sheetViews>
    <sheetView topLeftCell="A58" zoomScaleNormal="100" workbookViewId="0">
      <selection activeCell="C87" sqref="C87"/>
    </sheetView>
  </sheetViews>
  <sheetFormatPr defaultRowHeight="15.75" x14ac:dyDescent="0.2"/>
  <cols>
    <col min="1" max="1" width="2.44140625" style="7" customWidth="1"/>
    <col min="2" max="2" width="31.109375" style="7" customWidth="1"/>
    <col min="3" max="4" width="15.77734375" style="7" customWidth="1"/>
    <col min="5" max="5" width="16.33203125" style="7" customWidth="1"/>
    <col min="6" max="6" width="8.88671875" style="7"/>
    <col min="7" max="7" width="10.21875" style="7" customWidth="1"/>
    <col min="8" max="8" width="8.88671875" style="7"/>
    <col min="9" max="9" width="5.5546875" style="7" customWidth="1"/>
    <col min="10" max="10" width="10" style="7" customWidth="1"/>
    <col min="11" max="16384" width="8.88671875" style="7"/>
  </cols>
  <sheetData>
    <row r="1" spans="2:10" x14ac:dyDescent="0.2">
      <c r="B1" s="112" t="str">
        <f>(inputPrYr!D3)</f>
        <v>Valley Falls</v>
      </c>
      <c r="C1" s="6"/>
      <c r="D1" s="6"/>
      <c r="E1" s="158">
        <f>inputPrYr!C6</f>
        <v>2023</v>
      </c>
    </row>
    <row r="2" spans="2:10" x14ac:dyDescent="0.2">
      <c r="B2" s="6"/>
      <c r="C2" s="6"/>
      <c r="D2" s="6"/>
      <c r="E2" s="108"/>
    </row>
    <row r="3" spans="2:10" x14ac:dyDescent="0.2">
      <c r="B3" s="17" t="s">
        <v>84</v>
      </c>
      <c r="C3" s="117"/>
      <c r="D3" s="117"/>
      <c r="E3" s="196"/>
    </row>
    <row r="4" spans="2:10" x14ac:dyDescent="0.2">
      <c r="B4" s="9" t="s">
        <v>20</v>
      </c>
      <c r="C4" s="539" t="s">
        <v>665</v>
      </c>
      <c r="D4" s="540" t="s">
        <v>666</v>
      </c>
      <c r="E4" s="89" t="s">
        <v>667</v>
      </c>
    </row>
    <row r="5" spans="2:10" x14ac:dyDescent="0.2">
      <c r="B5" s="298">
        <f>inputPrYr!B31</f>
        <v>0</v>
      </c>
      <c r="C5" s="283" t="str">
        <f>CONCATENATE("Actual for ",E1-2,"")</f>
        <v>Actual for 2021</v>
      </c>
      <c r="D5" s="283" t="str">
        <f>CONCATENATE("Estimate for ",E1-1,"")</f>
        <v>Estimate for 2022</v>
      </c>
      <c r="E5" s="166" t="str">
        <f>CONCATENATE("Year for ",E1,"")</f>
        <v>Year for 2023</v>
      </c>
    </row>
    <row r="6" spans="2:10" x14ac:dyDescent="0.2">
      <c r="B6" s="167" t="s">
        <v>99</v>
      </c>
      <c r="C6" s="168"/>
      <c r="D6" s="282">
        <f>C33</f>
        <v>0</v>
      </c>
      <c r="E6" s="139">
        <f>D33</f>
        <v>0</v>
      </c>
    </row>
    <row r="7" spans="2:10" x14ac:dyDescent="0.2">
      <c r="B7" s="170" t="s">
        <v>101</v>
      </c>
      <c r="C7" s="103"/>
      <c r="D7" s="103"/>
      <c r="E7" s="41"/>
    </row>
    <row r="8" spans="2:10" x14ac:dyDescent="0.2">
      <c r="B8" s="95" t="s">
        <v>21</v>
      </c>
      <c r="C8" s="168"/>
      <c r="D8" s="282">
        <f>IF(inputPrYr!H21&gt;0,inputPrYr!G34,inputPrYr!E31)</f>
        <v>0</v>
      </c>
      <c r="E8" s="193" t="s">
        <v>10</v>
      </c>
    </row>
    <row r="9" spans="2:10" x14ac:dyDescent="0.2">
      <c r="B9" s="95" t="s">
        <v>22</v>
      </c>
      <c r="C9" s="168"/>
      <c r="D9" s="168"/>
      <c r="E9" s="26"/>
      <c r="G9" s="902" t="str">
        <f>CONCATENATE("Desired Carryover Into ",E1+1,"")</f>
        <v>Desired Carryover Into 2024</v>
      </c>
      <c r="H9" s="886"/>
      <c r="I9" s="886"/>
      <c r="J9" s="887"/>
    </row>
    <row r="10" spans="2:10" x14ac:dyDescent="0.2">
      <c r="B10" s="95" t="s">
        <v>23</v>
      </c>
      <c r="C10" s="168"/>
      <c r="D10" s="168"/>
      <c r="E10" s="139" t="str">
        <f>Mvalloc!D18</f>
        <v xml:space="preserve">  </v>
      </c>
      <c r="G10" s="561"/>
      <c r="H10" s="548"/>
      <c r="I10" s="555"/>
      <c r="J10" s="562"/>
    </row>
    <row r="11" spans="2:10" x14ac:dyDescent="0.2">
      <c r="B11" s="95" t="s">
        <v>24</v>
      </c>
      <c r="C11" s="168"/>
      <c r="D11" s="168"/>
      <c r="E11" s="139" t="str">
        <f>Mvalloc!E18</f>
        <v xml:space="preserve"> </v>
      </c>
      <c r="G11" s="560" t="s">
        <v>522</v>
      </c>
      <c r="H11" s="555"/>
      <c r="I11" s="555"/>
      <c r="J11" s="549">
        <v>0</v>
      </c>
    </row>
    <row r="12" spans="2:10" x14ac:dyDescent="0.2">
      <c r="B12" s="103" t="s">
        <v>91</v>
      </c>
      <c r="C12" s="168"/>
      <c r="D12" s="168"/>
      <c r="E12" s="139" t="str">
        <f>Mvalloc!F18</f>
        <v xml:space="preserve"> </v>
      </c>
      <c r="G12" s="561" t="s">
        <v>523</v>
      </c>
      <c r="H12" s="548"/>
      <c r="I12" s="548"/>
      <c r="J12" s="575" t="str">
        <f>IF(J11=0,"",ROUND((J11+E39-G24)/inputOth!E7*1000,3)-G29)</f>
        <v/>
      </c>
    </row>
    <row r="13" spans="2:10" x14ac:dyDescent="0.2">
      <c r="B13" s="646" t="s">
        <v>819</v>
      </c>
      <c r="C13" s="168"/>
      <c r="D13" s="168"/>
      <c r="E13" s="139" t="str">
        <f>Mvalloc!G18</f>
        <v xml:space="preserve"> </v>
      </c>
      <c r="G13" s="573" t="str">
        <f>CONCATENATE("",E1," Tot Exp/Non-Appr Must Be:")</f>
        <v>2023 Tot Exp/Non-Appr Must Be:</v>
      </c>
      <c r="H13" s="571"/>
      <c r="I13" s="572"/>
      <c r="J13" s="570">
        <f>IF(J11&gt;0,IF(E36&lt;E21,IF(J11=G24,E37,((J11-G24)*(1-D38))+E21),E37+(J11-G24)),0)</f>
        <v>0</v>
      </c>
    </row>
    <row r="14" spans="2:10" x14ac:dyDescent="0.2">
      <c r="B14" s="646" t="s">
        <v>820</v>
      </c>
      <c r="C14" s="168"/>
      <c r="D14" s="168"/>
      <c r="E14" s="139" t="str">
        <f>Mvalloc!H18</f>
        <v xml:space="preserve"> </v>
      </c>
      <c r="G14" s="495" t="s">
        <v>670</v>
      </c>
      <c r="H14" s="578"/>
      <c r="I14" s="578"/>
      <c r="J14" s="574">
        <f>IF(J11&gt;0,J13-E37,0)</f>
        <v>0</v>
      </c>
    </row>
    <row r="15" spans="2:10" x14ac:dyDescent="0.25">
      <c r="B15" s="26"/>
      <c r="C15" s="168"/>
      <c r="D15" s="168"/>
      <c r="E15" s="26"/>
      <c r="J15" s="543"/>
    </row>
    <row r="16" spans="2:10" x14ac:dyDescent="0.2">
      <c r="B16" s="175" t="s">
        <v>26</v>
      </c>
      <c r="C16" s="168"/>
      <c r="D16" s="168"/>
      <c r="E16" s="26"/>
      <c r="G16" s="902" t="str">
        <f>CONCATENATE("Projected Carryover Into ",E1+1,"")</f>
        <v>Projected Carryover Into 2024</v>
      </c>
      <c r="H16" s="909"/>
      <c r="I16" s="909"/>
      <c r="J16" s="913"/>
    </row>
    <row r="17" spans="2:11" x14ac:dyDescent="0.2">
      <c r="B17" s="181" t="s">
        <v>193</v>
      </c>
      <c r="C17" s="168"/>
      <c r="D17" s="168"/>
      <c r="E17" s="673">
        <f>'NR Rebate'!E17*-1</f>
        <v>0</v>
      </c>
      <c r="G17" s="561"/>
      <c r="H17" s="555"/>
      <c r="I17" s="555"/>
      <c r="J17" s="583"/>
    </row>
    <row r="18" spans="2:11" x14ac:dyDescent="0.2">
      <c r="B18" s="103" t="s">
        <v>192</v>
      </c>
      <c r="C18" s="168"/>
      <c r="D18" s="168"/>
      <c r="E18" s="26"/>
      <c r="G18" s="552">
        <f>D33</f>
        <v>0</v>
      </c>
      <c r="H18" s="553" t="str">
        <f>CONCATENATE("",E1-1," Ending Cash Balance (est.)")</f>
        <v>2022 Ending Cash Balance (est.)</v>
      </c>
      <c r="I18" s="554"/>
      <c r="J18" s="583"/>
    </row>
    <row r="19" spans="2:11" x14ac:dyDescent="0.2">
      <c r="B19" s="167" t="s">
        <v>654</v>
      </c>
      <c r="C19" s="284" t="str">
        <f>IF(C20*0.1&lt;C18,"Exceed 10% Rule","")</f>
        <v/>
      </c>
      <c r="D19" s="284" t="str">
        <f>IF(D20*0.1&lt;D18,"Exceed 10% Rule","")</f>
        <v/>
      </c>
      <c r="E19" s="299" t="str">
        <f>IF(E20*0.1+E39&lt;E18,"Exceed 10% Rule","")</f>
        <v/>
      </c>
      <c r="G19" s="552">
        <f>E20</f>
        <v>0</v>
      </c>
      <c r="H19" s="555" t="str">
        <f>CONCATENATE("",E1," Non-AV Receipts (est.)")</f>
        <v>2023 Non-AV Receipts (est.)</v>
      </c>
      <c r="I19" s="554"/>
      <c r="J19" s="583"/>
    </row>
    <row r="20" spans="2:11" x14ac:dyDescent="0.2">
      <c r="B20" s="177" t="s">
        <v>27</v>
      </c>
      <c r="C20" s="285">
        <f>SUM(C8:C18)</f>
        <v>0</v>
      </c>
      <c r="D20" s="285">
        <f>SUM(D8:D18)</f>
        <v>0</v>
      </c>
      <c r="E20" s="198">
        <f>SUM(E8:E18)</f>
        <v>0</v>
      </c>
      <c r="G20" s="556">
        <f>IF(D38&gt;0,E37,E39)</f>
        <v>0</v>
      </c>
      <c r="H20" s="555" t="str">
        <f>CONCATENATE("",E1," Ad Valorem Tax (est.)")</f>
        <v>2023 Ad Valorem Tax (est.)</v>
      </c>
      <c r="I20" s="554"/>
      <c r="J20" s="583"/>
      <c r="K20" s="498" t="str">
        <f>IF(G20=E39,"","Note: Does not include Delinquent Taxes")</f>
        <v/>
      </c>
    </row>
    <row r="21" spans="2:11" x14ac:dyDescent="0.2">
      <c r="B21" s="177" t="s">
        <v>28</v>
      </c>
      <c r="C21" s="285">
        <f>C6+C20</f>
        <v>0</v>
      </c>
      <c r="D21" s="285">
        <f>D6+D20</f>
        <v>0</v>
      </c>
      <c r="E21" s="198">
        <f>E6+E20</f>
        <v>0</v>
      </c>
      <c r="G21" s="552">
        <f>SUM(G18:G20)</f>
        <v>0</v>
      </c>
      <c r="H21" s="555" t="str">
        <f>CONCATENATE("Total ",E1," Resources Available")</f>
        <v>Total 2023 Resources Available</v>
      </c>
      <c r="I21" s="554"/>
      <c r="J21" s="583"/>
    </row>
    <row r="22" spans="2:11" x14ac:dyDescent="0.2">
      <c r="B22" s="95" t="s">
        <v>30</v>
      </c>
      <c r="C22" s="181"/>
      <c r="D22" s="181"/>
      <c r="E22" s="24"/>
      <c r="G22" s="557"/>
      <c r="H22" s="555"/>
      <c r="I22" s="555"/>
      <c r="J22" s="583"/>
    </row>
    <row r="23" spans="2:11" x14ac:dyDescent="0.2">
      <c r="B23" s="180"/>
      <c r="C23" s="168"/>
      <c r="D23" s="168"/>
      <c r="E23" s="26"/>
      <c r="G23" s="556">
        <f>ROUND(C32*0.05+C32,0)</f>
        <v>0</v>
      </c>
      <c r="H23" s="555" t="str">
        <f>CONCATENATE("Less ",E1-2," Expenditures + 5%")</f>
        <v>Less 2021 Expenditures + 5%</v>
      </c>
      <c r="I23" s="554"/>
      <c r="J23" s="583"/>
    </row>
    <row r="24" spans="2:11" x14ac:dyDescent="0.25">
      <c r="B24" s="180"/>
      <c r="C24" s="168"/>
      <c r="D24" s="168"/>
      <c r="E24" s="26"/>
      <c r="G24" s="576">
        <f>G21-G23</f>
        <v>0</v>
      </c>
      <c r="H24" s="577" t="str">
        <f>CONCATENATE("Projected ",E1+1," carryover (est.)")</f>
        <v>Projected 2024 carryover (est.)</v>
      </c>
      <c r="I24" s="558"/>
      <c r="J24" s="581"/>
    </row>
    <row r="25" spans="2:11" x14ac:dyDescent="0.25">
      <c r="B25" s="180"/>
      <c r="C25" s="168"/>
      <c r="D25" s="168"/>
      <c r="E25" s="26"/>
      <c r="G25" s="543"/>
      <c r="H25" s="543"/>
      <c r="I25" s="543"/>
      <c r="J25" s="543"/>
    </row>
    <row r="26" spans="2:11" x14ac:dyDescent="0.2">
      <c r="B26" s="180"/>
      <c r="C26" s="168"/>
      <c r="D26" s="168"/>
      <c r="E26" s="26"/>
      <c r="G26" s="888" t="s">
        <v>969</v>
      </c>
      <c r="H26" s="889"/>
      <c r="I26" s="889"/>
      <c r="J26" s="890"/>
    </row>
    <row r="27" spans="2:11" x14ac:dyDescent="0.2">
      <c r="B27" s="180"/>
      <c r="C27" s="168"/>
      <c r="D27" s="168"/>
      <c r="E27" s="26"/>
      <c r="G27" s="891"/>
      <c r="H27" s="892"/>
      <c r="I27" s="892"/>
      <c r="J27" s="893"/>
    </row>
    <row r="28" spans="2:11" x14ac:dyDescent="0.2">
      <c r="B28" s="180"/>
      <c r="C28" s="168"/>
      <c r="D28" s="168"/>
      <c r="E28" s="26"/>
      <c r="G28" s="757" t="str">
        <f>'Budget Hearing Notice'!H27</f>
        <v xml:space="preserve">  </v>
      </c>
      <c r="H28" s="758" t="str">
        <f>CONCATENATE("",E1," Estimated Fund Mill Rate")</f>
        <v>2023 Estimated Fund Mill Rate</v>
      </c>
      <c r="I28" s="759"/>
      <c r="J28" s="760"/>
    </row>
    <row r="29" spans="2:11" x14ac:dyDescent="0.2">
      <c r="B29" s="181" t="str">
        <f>CONCATENATE("Cash Forward (",E1," column)")</f>
        <v>Cash Forward (2023 column)</v>
      </c>
      <c r="C29" s="168"/>
      <c r="D29" s="168"/>
      <c r="E29" s="26"/>
      <c r="G29" s="761" t="str">
        <f>'Budget Hearing Notice'!E27</f>
        <v xml:space="preserve">  </v>
      </c>
      <c r="H29" s="758" t="str">
        <f>CONCATENATE("",E1-1," Fund Mill Rate")</f>
        <v>2022 Fund Mill Rate</v>
      </c>
      <c r="I29" s="759"/>
      <c r="J29" s="760"/>
    </row>
    <row r="30" spans="2:11" x14ac:dyDescent="0.2">
      <c r="B30" s="181" t="s">
        <v>192</v>
      </c>
      <c r="C30" s="168"/>
      <c r="D30" s="168"/>
      <c r="E30" s="26"/>
      <c r="G30" s="762">
        <f>inputOth!D20</f>
        <v>34.689</v>
      </c>
      <c r="H30" s="763" t="s">
        <v>970</v>
      </c>
      <c r="I30" s="759"/>
      <c r="J30" s="760"/>
    </row>
    <row r="31" spans="2:11" x14ac:dyDescent="0.2">
      <c r="B31" s="181" t="s">
        <v>655</v>
      </c>
      <c r="C31" s="284" t="str">
        <f>IF(C32*0.1&lt;C30,"Exceed 10% Rule","")</f>
        <v/>
      </c>
      <c r="D31" s="284" t="str">
        <f>IF(D32*0.1&lt;D30,"Exceed 10% Rule","")</f>
        <v/>
      </c>
      <c r="E31" s="299" t="str">
        <f>IF(E32*0.1&lt;E30,"Exceed 10% Rule","")</f>
        <v/>
      </c>
      <c r="G31" s="757">
        <f>'Budget Hearing Notice'!H43</f>
        <v>29.513999999999999</v>
      </c>
      <c r="H31" s="758" t="str">
        <f>CONCATENATE(E1," Estimated Total Mill Rate")</f>
        <v>2023 Estimated Total Mill Rate</v>
      </c>
      <c r="I31" s="759"/>
      <c r="J31" s="760"/>
    </row>
    <row r="32" spans="2:11" x14ac:dyDescent="0.2">
      <c r="B32" s="177" t="s">
        <v>34</v>
      </c>
      <c r="C32" s="285">
        <f>SUM(C23:C30)</f>
        <v>0</v>
      </c>
      <c r="D32" s="285">
        <f>SUM(D23:D30)</f>
        <v>0</v>
      </c>
      <c r="E32" s="198">
        <f>SUM(E23:E30)</f>
        <v>0</v>
      </c>
      <c r="G32" s="764">
        <f>'Budget Hearing Notice'!E43</f>
        <v>38.04</v>
      </c>
      <c r="H32" s="758" t="str">
        <f>CONCATENATE(E1-1," Total Mill Rate")</f>
        <v>2022 Total Mill Rate</v>
      </c>
      <c r="I32" s="759"/>
      <c r="J32" s="760"/>
    </row>
    <row r="33" spans="2:12" x14ac:dyDescent="0.2">
      <c r="B33" s="95" t="s">
        <v>100</v>
      </c>
      <c r="C33" s="282">
        <f>C21-C32</f>
        <v>0</v>
      </c>
      <c r="D33" s="282">
        <f>D21-D32</f>
        <v>0</v>
      </c>
      <c r="E33" s="193" t="s">
        <v>10</v>
      </c>
      <c r="G33" s="765"/>
      <c r="H33" s="766"/>
      <c r="I33" s="766"/>
      <c r="J33" s="767"/>
    </row>
    <row r="34" spans="2:12" x14ac:dyDescent="0.2">
      <c r="B34" s="110" t="str">
        <f>CONCATENATE("",E1-2,"/",E1-1,"/",E1," Budget Authority Amount:")</f>
        <v>2021/2022/2023 Budget Authority Amount:</v>
      </c>
      <c r="C34" s="428">
        <f>inputOth!B77</f>
        <v>0</v>
      </c>
      <c r="D34" s="592">
        <f>inputPrYr!D31</f>
        <v>0</v>
      </c>
      <c r="E34" s="139">
        <f>E32</f>
        <v>0</v>
      </c>
      <c r="G34" s="894" t="s">
        <v>971</v>
      </c>
      <c r="H34" s="895"/>
      <c r="I34" s="895"/>
      <c r="J34" s="898" t="str">
        <f>IF(G31&gt;G30, "Yes", "No")</f>
        <v>No</v>
      </c>
    </row>
    <row r="35" spans="2:12" x14ac:dyDescent="0.2">
      <c r="B35" s="83"/>
      <c r="C35" s="881" t="s">
        <v>514</v>
      </c>
      <c r="D35" s="882"/>
      <c r="E35" s="26"/>
      <c r="G35" s="896"/>
      <c r="H35" s="897"/>
      <c r="I35" s="897"/>
      <c r="J35" s="899"/>
    </row>
    <row r="36" spans="2:12" x14ac:dyDescent="0.2">
      <c r="B36" s="301" t="str">
        <f>CONCATENATE(C97,"     ",D97)</f>
        <v xml:space="preserve">     </v>
      </c>
      <c r="C36" s="883" t="s">
        <v>515</v>
      </c>
      <c r="D36" s="884"/>
      <c r="E36" s="139">
        <f>E32+E35</f>
        <v>0</v>
      </c>
      <c r="G36" s="900" t="str">
        <f>IF(J34="Yes", "Follow procedure prescribed by KSA 79-2988 to exceed the Revenue Neutral Rate.", " ")</f>
        <v xml:space="preserve"> </v>
      </c>
      <c r="H36" s="900"/>
      <c r="I36" s="900"/>
      <c r="J36" s="900"/>
    </row>
    <row r="37" spans="2:12" x14ac:dyDescent="0.2">
      <c r="B37" s="301" t="str">
        <f>CONCATENATE(C98,"     ",D98)</f>
        <v xml:space="preserve">     </v>
      </c>
      <c r="C37" s="184"/>
      <c r="D37" s="108" t="s">
        <v>35</v>
      </c>
      <c r="E37" s="139">
        <f>IF(E36-E21&gt;0,E36-E21,0)</f>
        <v>0</v>
      </c>
      <c r="F37" s="183"/>
      <c r="G37" s="901"/>
      <c r="H37" s="901"/>
      <c r="I37" s="901"/>
      <c r="J37" s="901"/>
      <c r="L37" s="498"/>
    </row>
    <row r="38" spans="2:12" x14ac:dyDescent="0.2">
      <c r="B38" s="108"/>
      <c r="C38" s="289" t="s">
        <v>516</v>
      </c>
      <c r="D38" s="497">
        <f>inputOth!$E$52</f>
        <v>0.03</v>
      </c>
      <c r="E38" s="139">
        <f>ROUND(IF($D$38&gt;0,($E$37*$D$38),0),0)</f>
        <v>0</v>
      </c>
      <c r="F38" s="183" t="str">
        <f>IF(E32/0.95-E32&lt;E35,"Exceeds 5%","")</f>
        <v/>
      </c>
      <c r="G38" s="901"/>
      <c r="H38" s="901"/>
      <c r="I38" s="901"/>
      <c r="J38" s="901"/>
    </row>
    <row r="39" spans="2:12" ht="16.5" thickBot="1" x14ac:dyDescent="0.25">
      <c r="B39" s="6"/>
      <c r="C39" s="874" t="str">
        <f>CONCATENATE("Amount of  ",$E$1-1," Ad Valorem Tax")</f>
        <v>Amount of  2022 Ad Valorem Tax</v>
      </c>
      <c r="D39" s="885"/>
      <c r="E39" s="199">
        <f>E37+E38</f>
        <v>0</v>
      </c>
    </row>
    <row r="40" spans="2:12" ht="16.5" thickTop="1" x14ac:dyDescent="0.2">
      <c r="B40" s="6"/>
      <c r="C40" s="906"/>
      <c r="D40" s="906"/>
      <c r="E40" s="6"/>
    </row>
    <row r="41" spans="2:12" x14ac:dyDescent="0.2">
      <c r="B41" s="6"/>
      <c r="C41" s="6"/>
      <c r="D41" s="6"/>
      <c r="E41" s="6"/>
    </row>
    <row r="42" spans="2:12" x14ac:dyDescent="0.2">
      <c r="B42" s="9"/>
      <c r="C42" s="87"/>
      <c r="D42" s="87"/>
      <c r="E42" s="87"/>
    </row>
    <row r="43" spans="2:12" x14ac:dyDescent="0.2">
      <c r="B43" s="9" t="s">
        <v>20</v>
      </c>
      <c r="C43" s="539" t="str">
        <f t="shared" ref="C43:E44" si="0">C4</f>
        <v xml:space="preserve">Prior Year </v>
      </c>
      <c r="D43" s="540" t="str">
        <f t="shared" si="0"/>
        <v>Current Year</v>
      </c>
      <c r="E43" s="89" t="str">
        <f t="shared" si="0"/>
        <v>Proposed Budget</v>
      </c>
    </row>
    <row r="44" spans="2:12" x14ac:dyDescent="0.2">
      <c r="B44" s="297">
        <f>inputPrYr!B32</f>
        <v>0</v>
      </c>
      <c r="C44" s="283" t="str">
        <f t="shared" si="0"/>
        <v>Actual for 2021</v>
      </c>
      <c r="D44" s="283" t="str">
        <f t="shared" si="0"/>
        <v>Estimate for 2022</v>
      </c>
      <c r="E44" s="124" t="str">
        <f t="shared" si="0"/>
        <v>Year for 2023</v>
      </c>
    </row>
    <row r="45" spans="2:12" x14ac:dyDescent="0.2">
      <c r="B45" s="167" t="s">
        <v>99</v>
      </c>
      <c r="C45" s="168"/>
      <c r="D45" s="282">
        <f>C75</f>
        <v>0</v>
      </c>
      <c r="E45" s="139">
        <f>D75</f>
        <v>0</v>
      </c>
    </row>
    <row r="46" spans="2:12" x14ac:dyDescent="0.2">
      <c r="B46" s="167" t="s">
        <v>101</v>
      </c>
      <c r="C46" s="103"/>
      <c r="D46" s="103"/>
      <c r="E46" s="41"/>
    </row>
    <row r="47" spans="2:12" x14ac:dyDescent="0.2">
      <c r="B47" s="95" t="s">
        <v>21</v>
      </c>
      <c r="C47" s="168"/>
      <c r="D47" s="282">
        <f>IF(inputPrYr!H21&gt;0,inputPrYr!G35,inputPrYr!E32)</f>
        <v>0</v>
      </c>
      <c r="E47" s="193" t="s">
        <v>10</v>
      </c>
    </row>
    <row r="48" spans="2:12" x14ac:dyDescent="0.2">
      <c r="B48" s="95" t="s">
        <v>22</v>
      </c>
      <c r="C48" s="168"/>
      <c r="D48" s="168"/>
      <c r="E48" s="26"/>
    </row>
    <row r="49" spans="2:11" x14ac:dyDescent="0.2">
      <c r="B49" s="95" t="s">
        <v>23</v>
      </c>
      <c r="C49" s="168"/>
      <c r="D49" s="168"/>
      <c r="E49" s="139" t="str">
        <f>Mvalloc!D19</f>
        <v xml:space="preserve">  </v>
      </c>
    </row>
    <row r="50" spans="2:11" x14ac:dyDescent="0.2">
      <c r="B50" s="95" t="s">
        <v>24</v>
      </c>
      <c r="C50" s="168"/>
      <c r="D50" s="168"/>
      <c r="E50" s="139" t="str">
        <f>Mvalloc!E19</f>
        <v xml:space="preserve"> </v>
      </c>
    </row>
    <row r="51" spans="2:11" x14ac:dyDescent="0.2">
      <c r="B51" s="103" t="s">
        <v>91</v>
      </c>
      <c r="C51" s="168"/>
      <c r="D51" s="168"/>
      <c r="E51" s="139" t="str">
        <f>Mvalloc!F19</f>
        <v xml:space="preserve"> </v>
      </c>
      <c r="G51" s="902" t="str">
        <f>CONCATENATE("Desired Carryover Into ",E1+1,"")</f>
        <v>Desired Carryover Into 2024</v>
      </c>
      <c r="H51" s="886"/>
      <c r="I51" s="886"/>
      <c r="J51" s="887"/>
    </row>
    <row r="52" spans="2:11" x14ac:dyDescent="0.2">
      <c r="B52" s="646" t="s">
        <v>819</v>
      </c>
      <c r="C52" s="168"/>
      <c r="D52" s="168"/>
      <c r="E52" s="139" t="str">
        <f>Mvalloc!G19</f>
        <v xml:space="preserve"> </v>
      </c>
      <c r="G52" s="561"/>
      <c r="H52" s="548"/>
      <c r="I52" s="555"/>
      <c r="J52" s="562"/>
    </row>
    <row r="53" spans="2:11" x14ac:dyDescent="0.2">
      <c r="B53" s="646" t="s">
        <v>820</v>
      </c>
      <c r="C53" s="168"/>
      <c r="D53" s="168"/>
      <c r="E53" s="139" t="str">
        <f>Mvalloc!H19</f>
        <v xml:space="preserve"> </v>
      </c>
      <c r="G53" s="560" t="s">
        <v>522</v>
      </c>
      <c r="H53" s="555"/>
      <c r="I53" s="555"/>
      <c r="J53" s="549">
        <v>0</v>
      </c>
    </row>
    <row r="54" spans="2:11" x14ac:dyDescent="0.2">
      <c r="B54" s="26"/>
      <c r="C54" s="168"/>
      <c r="D54" s="168"/>
      <c r="E54" s="26"/>
      <c r="G54" s="561" t="s">
        <v>523</v>
      </c>
      <c r="H54" s="548"/>
      <c r="I54" s="548"/>
      <c r="J54" s="575" t="str">
        <f>IF(J53=0,"",ROUND((J53+E81-G66)/inputOth!E7*1000,3)-G71)</f>
        <v/>
      </c>
    </row>
    <row r="55" spans="2:11" x14ac:dyDescent="0.2">
      <c r="B55" s="180"/>
      <c r="C55" s="168"/>
      <c r="D55" s="168"/>
      <c r="E55" s="26"/>
      <c r="G55" s="573" t="str">
        <f>CONCATENATE("",E1," Tot Exp/Non-Appr Must Be:")</f>
        <v>2023 Tot Exp/Non-Appr Must Be:</v>
      </c>
      <c r="H55" s="571"/>
      <c r="I55" s="572"/>
      <c r="J55" s="570">
        <f>IF(J53&gt;0,IF(E78&lt;E63,IF(J53=G66,E78,((J53-G66)*(1-D80))+E63),E78+(J53-G66)),0)</f>
        <v>0</v>
      </c>
    </row>
    <row r="56" spans="2:11" x14ac:dyDescent="0.2">
      <c r="B56" s="180"/>
      <c r="C56" s="168"/>
      <c r="D56" s="168"/>
      <c r="E56" s="26"/>
      <c r="G56" s="495" t="s">
        <v>670</v>
      </c>
      <c r="H56" s="578"/>
      <c r="I56" s="578"/>
      <c r="J56" s="574">
        <f>IF(J53&gt;0,J55-E78,0)</f>
        <v>0</v>
      </c>
    </row>
    <row r="57" spans="2:11" x14ac:dyDescent="0.25">
      <c r="B57" s="180"/>
      <c r="C57" s="168"/>
      <c r="D57" s="168"/>
      <c r="E57" s="26"/>
      <c r="J57" s="543"/>
    </row>
    <row r="58" spans="2:11" x14ac:dyDescent="0.2">
      <c r="B58" s="175" t="s">
        <v>26</v>
      </c>
      <c r="C58" s="168"/>
      <c r="D58" s="168"/>
      <c r="E58" s="26"/>
      <c r="G58" s="902" t="str">
        <f>CONCATENATE("Projected Carryover Into ",E1+1,"")</f>
        <v>Projected Carryover Into 2024</v>
      </c>
      <c r="H58" s="912"/>
      <c r="I58" s="912"/>
      <c r="J58" s="913"/>
    </row>
    <row r="59" spans="2:11" x14ac:dyDescent="0.2">
      <c r="B59" s="181" t="s">
        <v>193</v>
      </c>
      <c r="C59" s="168"/>
      <c r="D59" s="168"/>
      <c r="E59" s="673">
        <f>'NR Rebate'!E18*-1</f>
        <v>0</v>
      </c>
      <c r="G59" s="550"/>
      <c r="H59" s="548"/>
      <c r="I59" s="548"/>
      <c r="J59" s="583"/>
    </row>
    <row r="60" spans="2:11" x14ac:dyDescent="0.2">
      <c r="B60" s="103" t="s">
        <v>192</v>
      </c>
      <c r="C60" s="168"/>
      <c r="D60" s="168"/>
      <c r="E60" s="26"/>
      <c r="G60" s="552">
        <f>D75</f>
        <v>0</v>
      </c>
      <c r="H60" s="553" t="str">
        <f>CONCATENATE("",E1-1," Ending Cash Balance (est.)")</f>
        <v>2022 Ending Cash Balance (est.)</v>
      </c>
      <c r="I60" s="554"/>
      <c r="J60" s="583"/>
    </row>
    <row r="61" spans="2:11" x14ac:dyDescent="0.2">
      <c r="B61" s="167" t="s">
        <v>654</v>
      </c>
      <c r="C61" s="284" t="str">
        <f>IF(C62*0.1&lt;C60,"Exceed 10% Rule","")</f>
        <v/>
      </c>
      <c r="D61" s="284" t="str">
        <f>IF(D62*0.1&lt;D60,"Exceed 10% Rule","")</f>
        <v/>
      </c>
      <c r="E61" s="299" t="str">
        <f>IF(E62*0.1+E81&lt;E60,"Exceed 10% Rule","")</f>
        <v/>
      </c>
      <c r="G61" s="552">
        <f>E62</f>
        <v>0</v>
      </c>
      <c r="H61" s="555" t="str">
        <f>CONCATENATE("",E1," Non-AV Receipts (est.)")</f>
        <v>2023 Non-AV Receipts (est.)</v>
      </c>
      <c r="I61" s="554"/>
      <c r="J61" s="583"/>
    </row>
    <row r="62" spans="2:11" x14ac:dyDescent="0.2">
      <c r="B62" s="177" t="s">
        <v>27</v>
      </c>
      <c r="C62" s="285">
        <f>SUM(C47:C60)</f>
        <v>0</v>
      </c>
      <c r="D62" s="285">
        <f>SUM(D47:D60)</f>
        <v>0</v>
      </c>
      <c r="E62" s="198">
        <f>SUM(E47:E60)</f>
        <v>0</v>
      </c>
      <c r="G62" s="556">
        <f>IF(D80&gt;0,E79,E81)</f>
        <v>0</v>
      </c>
      <c r="H62" s="555" t="str">
        <f>CONCATENATE("",E1," Ad Valorem Tax (est.)")</f>
        <v>2023 Ad Valorem Tax (est.)</v>
      </c>
      <c r="I62" s="554"/>
      <c r="J62" s="583"/>
      <c r="K62" s="498" t="str">
        <f>IF(G62=E81,"","Note: Does not include Delinquent Taxes")</f>
        <v/>
      </c>
    </row>
    <row r="63" spans="2:11" x14ac:dyDescent="0.2">
      <c r="B63" s="177" t="s">
        <v>28</v>
      </c>
      <c r="C63" s="285">
        <f>C45+C62</f>
        <v>0</v>
      </c>
      <c r="D63" s="285">
        <f>D45+D62</f>
        <v>0</v>
      </c>
      <c r="E63" s="198">
        <f>E45+E62</f>
        <v>0</v>
      </c>
      <c r="G63" s="563">
        <f>SUM(G60:G62)</f>
        <v>0</v>
      </c>
      <c r="H63" s="555" t="str">
        <f>CONCATENATE("Total ",E1," Resources Available")</f>
        <v>Total 2023 Resources Available</v>
      </c>
      <c r="I63" s="551"/>
      <c r="J63" s="583"/>
    </row>
    <row r="64" spans="2:11" x14ac:dyDescent="0.2">
      <c r="B64" s="95" t="s">
        <v>30</v>
      </c>
      <c r="C64" s="181"/>
      <c r="D64" s="181"/>
      <c r="E64" s="24"/>
      <c r="G64" s="566"/>
      <c r="H64" s="564"/>
      <c r="I64" s="548"/>
      <c r="J64" s="583"/>
    </row>
    <row r="65" spans="2:10" x14ac:dyDescent="0.2">
      <c r="B65" s="180"/>
      <c r="C65" s="168"/>
      <c r="D65" s="168"/>
      <c r="E65" s="26"/>
      <c r="G65" s="565">
        <f>ROUND(C74*0.05+C74,0)</f>
        <v>0</v>
      </c>
      <c r="H65" s="564" t="str">
        <f>CONCATENATE("Less ",E1-2," Expenditures + 5%")</f>
        <v>Less 2021 Expenditures + 5%</v>
      </c>
      <c r="I65" s="551"/>
      <c r="J65" s="583"/>
    </row>
    <row r="66" spans="2:10" x14ac:dyDescent="0.25">
      <c r="B66" s="180"/>
      <c r="C66" s="168"/>
      <c r="D66" s="168"/>
      <c r="E66" s="26"/>
      <c r="G66" s="567">
        <f>G63-G65</f>
        <v>0</v>
      </c>
      <c r="H66" s="568" t="str">
        <f>CONCATENATE("Projected ",E1+1," carryover (est.)")</f>
        <v>Projected 2024 carryover (est.)</v>
      </c>
      <c r="I66" s="559"/>
      <c r="J66" s="581"/>
    </row>
    <row r="67" spans="2:10" x14ac:dyDescent="0.25">
      <c r="B67" s="180"/>
      <c r="C67" s="168"/>
      <c r="D67" s="168"/>
      <c r="E67" s="26"/>
      <c r="G67" s="543"/>
      <c r="H67" s="543"/>
      <c r="I67" s="543"/>
    </row>
    <row r="68" spans="2:10" x14ac:dyDescent="0.2">
      <c r="B68" s="180"/>
      <c r="C68" s="168"/>
      <c r="D68" s="168"/>
      <c r="E68" s="26"/>
      <c r="G68" s="888" t="s">
        <v>969</v>
      </c>
      <c r="H68" s="889"/>
      <c r="I68" s="889"/>
      <c r="J68" s="890"/>
    </row>
    <row r="69" spans="2:10" x14ac:dyDescent="0.2">
      <c r="B69" s="180"/>
      <c r="C69" s="168"/>
      <c r="D69" s="168"/>
      <c r="E69" s="26"/>
      <c r="G69" s="891"/>
      <c r="H69" s="892"/>
      <c r="I69" s="892"/>
      <c r="J69" s="893"/>
    </row>
    <row r="70" spans="2:10" x14ac:dyDescent="0.2">
      <c r="B70" s="180"/>
      <c r="C70" s="168"/>
      <c r="D70" s="168"/>
      <c r="E70" s="26"/>
      <c r="G70" s="757" t="str">
        <f>'Budget Hearing Notice'!H28</f>
        <v xml:space="preserve">  </v>
      </c>
      <c r="H70" s="758" t="str">
        <f>CONCATENATE("",E1," Estimated Fund Mill Rate")</f>
        <v>2023 Estimated Fund Mill Rate</v>
      </c>
      <c r="I70" s="759"/>
      <c r="J70" s="760"/>
    </row>
    <row r="71" spans="2:10" x14ac:dyDescent="0.2">
      <c r="B71" s="181" t="str">
        <f>CONCATENATE("Cash Forward (",E1," column)")</f>
        <v>Cash Forward (2023 column)</v>
      </c>
      <c r="C71" s="168"/>
      <c r="D71" s="168"/>
      <c r="E71" s="26"/>
      <c r="G71" s="761" t="str">
        <f>'Budget Hearing Notice'!E28</f>
        <v xml:space="preserve">  </v>
      </c>
      <c r="H71" s="758" t="str">
        <f>CONCATENATE("",E1-1," Fund Mill Rate")</f>
        <v>2022 Fund Mill Rate</v>
      </c>
      <c r="I71" s="759"/>
      <c r="J71" s="760"/>
    </row>
    <row r="72" spans="2:10" x14ac:dyDescent="0.2">
      <c r="B72" s="181" t="s">
        <v>192</v>
      </c>
      <c r="C72" s="168"/>
      <c r="D72" s="168"/>
      <c r="E72" s="26"/>
      <c r="G72" s="762">
        <f>inputOth!D20</f>
        <v>34.689</v>
      </c>
      <c r="H72" s="763" t="s">
        <v>970</v>
      </c>
      <c r="I72" s="759"/>
      <c r="J72" s="760"/>
    </row>
    <row r="73" spans="2:10" x14ac:dyDescent="0.2">
      <c r="B73" s="181" t="s">
        <v>655</v>
      </c>
      <c r="C73" s="284" t="str">
        <f>IF(C74*0.1&lt;C72,"Exceed 10% Rule","")</f>
        <v/>
      </c>
      <c r="D73" s="284" t="str">
        <f>IF(D74*0.1&lt;D72,"Exceed 10% Rule","")</f>
        <v/>
      </c>
      <c r="E73" s="299" t="str">
        <f>IF(E74*0.1&lt;E72,"Exceed 10% Rule","")</f>
        <v/>
      </c>
      <c r="G73" s="757">
        <f>'Budget Hearing Notice'!H43</f>
        <v>29.513999999999999</v>
      </c>
      <c r="H73" s="758" t="str">
        <f>CONCATENATE(E1," Estimated Total Mill Rate")</f>
        <v>2023 Estimated Total Mill Rate</v>
      </c>
      <c r="I73" s="759"/>
      <c r="J73" s="760"/>
    </row>
    <row r="74" spans="2:10" x14ac:dyDescent="0.2">
      <c r="B74" s="177" t="s">
        <v>34</v>
      </c>
      <c r="C74" s="285">
        <f>SUM(C65:C72)</f>
        <v>0</v>
      </c>
      <c r="D74" s="285">
        <f>SUM(D65:D72)</f>
        <v>0</v>
      </c>
      <c r="E74" s="198">
        <f>SUM(E65:E72)</f>
        <v>0</v>
      </c>
      <c r="G74" s="764">
        <f>'Budget Hearing Notice'!E43</f>
        <v>38.04</v>
      </c>
      <c r="H74" s="758" t="str">
        <f>CONCATENATE(E1-1," Total Mill Rate")</f>
        <v>2022 Total Mill Rate</v>
      </c>
      <c r="I74" s="759"/>
      <c r="J74" s="760"/>
    </row>
    <row r="75" spans="2:10" x14ac:dyDescent="0.2">
      <c r="B75" s="95" t="s">
        <v>100</v>
      </c>
      <c r="C75" s="282">
        <f>C63-C74</f>
        <v>0</v>
      </c>
      <c r="D75" s="282">
        <f>D63-D74</f>
        <v>0</v>
      </c>
      <c r="E75" s="193" t="s">
        <v>10</v>
      </c>
      <c r="G75" s="765"/>
      <c r="H75" s="766"/>
      <c r="I75" s="766"/>
      <c r="J75" s="767"/>
    </row>
    <row r="76" spans="2:10" x14ac:dyDescent="0.2">
      <c r="B76" s="110" t="str">
        <f>CONCATENATE("",E1-2,"/",E1-1,"/",E1," Budget Authority Amount:")</f>
        <v>2021/2022/2023 Budget Authority Amount:</v>
      </c>
      <c r="C76" s="428">
        <f>inputOth!B78</f>
        <v>0</v>
      </c>
      <c r="D76" s="591">
        <f>inputPrYr!D32</f>
        <v>0</v>
      </c>
      <c r="E76" s="139">
        <f>E74</f>
        <v>0</v>
      </c>
      <c r="G76" s="894" t="s">
        <v>971</v>
      </c>
      <c r="H76" s="895"/>
      <c r="I76" s="895"/>
      <c r="J76" s="898" t="str">
        <f>IF(G73&gt;G72, "Yes", "No")</f>
        <v>No</v>
      </c>
    </row>
    <row r="77" spans="2:10" x14ac:dyDescent="0.2">
      <c r="B77" s="83"/>
      <c r="C77" s="881" t="s">
        <v>514</v>
      </c>
      <c r="D77" s="882"/>
      <c r="E77" s="26"/>
      <c r="G77" s="896"/>
      <c r="H77" s="897"/>
      <c r="I77" s="897"/>
      <c r="J77" s="899"/>
    </row>
    <row r="78" spans="2:10" ht="15.75" customHeight="1" x14ac:dyDescent="0.2">
      <c r="B78" s="301" t="str">
        <f>CONCATENATE(C99,"     ",D99)</f>
        <v xml:space="preserve">     </v>
      </c>
      <c r="C78" s="883" t="s">
        <v>515</v>
      </c>
      <c r="D78" s="884"/>
      <c r="E78" s="139">
        <f>E74+E77</f>
        <v>0</v>
      </c>
      <c r="G78" s="900" t="str">
        <f>IF(J76="Yes", "Follow procedure prescribed by KSA 79-2988 to exceed the Revenue Neutral Rate.", " ")</f>
        <v xml:space="preserve"> </v>
      </c>
      <c r="H78" s="900"/>
      <c r="I78" s="900"/>
      <c r="J78" s="900"/>
    </row>
    <row r="79" spans="2:10" x14ac:dyDescent="0.2">
      <c r="B79" s="301" t="str">
        <f>CONCATENATE(C100,"     ",D100)</f>
        <v xml:space="preserve">     </v>
      </c>
      <c r="C79" s="184"/>
      <c r="D79" s="108" t="s">
        <v>35</v>
      </c>
      <c r="E79" s="139">
        <f>IF(E78-E63&gt;0,E78-E63,0)</f>
        <v>0</v>
      </c>
      <c r="F79" s="183"/>
      <c r="G79" s="901"/>
      <c r="H79" s="901"/>
      <c r="I79" s="901"/>
      <c r="J79" s="901"/>
    </row>
    <row r="80" spans="2:10" x14ac:dyDescent="0.2">
      <c r="B80" s="108"/>
      <c r="C80" s="289" t="s">
        <v>516</v>
      </c>
      <c r="D80" s="497">
        <f>inputOth!$E$52</f>
        <v>0.03</v>
      </c>
      <c r="E80" s="139">
        <f>ROUND(IF(D80&gt;0,(E79*D80),0),0)</f>
        <v>0</v>
      </c>
      <c r="F80" s="183" t="str">
        <f>IF(E74/0.95-E74&lt;E77,"Exceeds 5%","")</f>
        <v/>
      </c>
      <c r="G80" s="901"/>
      <c r="H80" s="901"/>
      <c r="I80" s="901"/>
      <c r="J80" s="901"/>
    </row>
    <row r="81" spans="2:5" ht="16.5" thickBot="1" x14ac:dyDescent="0.25">
      <c r="B81" s="6"/>
      <c r="C81" s="874" t="str">
        <f>CONCATENATE("Amount of  ",$E$1-1," Ad Valorem Tax")</f>
        <v>Amount of  2022 Ad Valorem Tax</v>
      </c>
      <c r="D81" s="885"/>
      <c r="E81" s="199">
        <f>E79+E80</f>
        <v>0</v>
      </c>
    </row>
    <row r="82" spans="2:5" ht="16.5" thickTop="1" x14ac:dyDescent="0.2">
      <c r="B82" s="6"/>
      <c r="C82" s="906"/>
      <c r="D82" s="906"/>
      <c r="E82" s="6"/>
    </row>
    <row r="83" spans="2:5" x14ac:dyDescent="0.2">
      <c r="B83" s="727" t="s">
        <v>839</v>
      </c>
      <c r="C83" s="693"/>
      <c r="D83" s="693"/>
      <c r="E83" s="694"/>
    </row>
    <row r="84" spans="2:5" x14ac:dyDescent="0.2">
      <c r="B84" s="38"/>
      <c r="C84" s="290"/>
      <c r="D84" s="290"/>
      <c r="E84" s="546"/>
    </row>
    <row r="85" spans="2:5" x14ac:dyDescent="0.2">
      <c r="B85" s="462"/>
      <c r="C85" s="695"/>
      <c r="D85" s="695"/>
      <c r="E85" s="45"/>
    </row>
    <row r="86" spans="2:5" ht="15.75" customHeight="1" x14ac:dyDescent="0.2">
      <c r="B86" s="6"/>
      <c r="C86" s="6"/>
      <c r="D86" s="6"/>
      <c r="E86" s="6"/>
    </row>
    <row r="87" spans="2:5" ht="15.75" customHeight="1" x14ac:dyDescent="0.2">
      <c r="B87" s="83" t="s">
        <v>37</v>
      </c>
      <c r="C87" s="600">
        <v>12</v>
      </c>
      <c r="D87" s="6"/>
      <c r="E87" s="6"/>
    </row>
    <row r="97" spans="3:4" hidden="1" x14ac:dyDescent="0.2">
      <c r="C97" s="302" t="str">
        <f>IF(C32&gt;C34,"See Tab A","")</f>
        <v/>
      </c>
      <c r="D97" s="302" t="str">
        <f>IF(D32&gt;D34,"See Tab C","")</f>
        <v/>
      </c>
    </row>
    <row r="98" spans="3:4" hidden="1" x14ac:dyDescent="0.2">
      <c r="C98" s="302" t="str">
        <f>IF(C33&lt;0,"See Tab B","")</f>
        <v/>
      </c>
      <c r="D98" s="302" t="str">
        <f>IF(D33&lt;0,"See Tab D","")</f>
        <v/>
      </c>
    </row>
    <row r="99" spans="3:4" hidden="1" x14ac:dyDescent="0.2">
      <c r="C99" s="302" t="str">
        <f>IF(C74&gt;C76,"See Tab A","")</f>
        <v/>
      </c>
      <c r="D99" s="302" t="str">
        <f>IF(D74&gt;D76,"See Tab C","")</f>
        <v/>
      </c>
    </row>
    <row r="100" spans="3:4" hidden="1" x14ac:dyDescent="0.2">
      <c r="C100" s="302" t="str">
        <f>IF(C75&lt;0,"See Tab B","")</f>
        <v/>
      </c>
      <c r="D100" s="302" t="str">
        <f>IF(D75&lt;0,"See Tab D","")</f>
        <v/>
      </c>
    </row>
  </sheetData>
  <sheetProtection sheet="1" objects="1" scenarios="1"/>
  <mergeCells count="20">
    <mergeCell ref="G9:J9"/>
    <mergeCell ref="G16:J16"/>
    <mergeCell ref="G51:J51"/>
    <mergeCell ref="G58:J58"/>
    <mergeCell ref="G68:J69"/>
    <mergeCell ref="C82:D82"/>
    <mergeCell ref="C40:D40"/>
    <mergeCell ref="C77:D77"/>
    <mergeCell ref="C78:D78"/>
    <mergeCell ref="C35:D35"/>
    <mergeCell ref="C36:D36"/>
    <mergeCell ref="C39:D39"/>
    <mergeCell ref="C81:D81"/>
    <mergeCell ref="G76:I77"/>
    <mergeCell ref="J76:J77"/>
    <mergeCell ref="G78:J80"/>
    <mergeCell ref="G26:J27"/>
    <mergeCell ref="G34:I35"/>
    <mergeCell ref="J34:J35"/>
    <mergeCell ref="G36:J38"/>
  </mergeCells>
  <phoneticPr fontId="0" type="noConversion"/>
  <conditionalFormatting sqref="E30">
    <cfRule type="cellIs" dxfId="151" priority="5" stopIfTrue="1" operator="greaterThan">
      <formula>$E$32*0.1</formula>
    </cfRule>
  </conditionalFormatting>
  <conditionalFormatting sqref="E35">
    <cfRule type="cellIs" dxfId="150" priority="6" stopIfTrue="1" operator="greaterThan">
      <formula>$E$32/0.95-$E$32</formula>
    </cfRule>
  </conditionalFormatting>
  <conditionalFormatting sqref="E72">
    <cfRule type="cellIs" dxfId="149" priority="7" stopIfTrue="1" operator="greaterThan">
      <formula>$E$74*0.1</formula>
    </cfRule>
  </conditionalFormatting>
  <conditionalFormatting sqref="E77">
    <cfRule type="cellIs" dxfId="148" priority="8" stopIfTrue="1" operator="greaterThan">
      <formula>$E$74/0.95-$E$74</formula>
    </cfRule>
  </conditionalFormatting>
  <conditionalFormatting sqref="D32">
    <cfRule type="cellIs" dxfId="147" priority="9" stopIfTrue="1" operator="greaterThan">
      <formula>$D$34</formula>
    </cfRule>
  </conditionalFormatting>
  <conditionalFormatting sqref="C32">
    <cfRule type="cellIs" dxfId="146" priority="10" stopIfTrue="1" operator="greaterThan">
      <formula>$C$34</formula>
    </cfRule>
  </conditionalFormatting>
  <conditionalFormatting sqref="C33 C75">
    <cfRule type="cellIs" dxfId="145" priority="11" stopIfTrue="1" operator="lessThan">
      <formula>0</formula>
    </cfRule>
  </conditionalFormatting>
  <conditionalFormatting sqref="D74">
    <cfRule type="cellIs" dxfId="144" priority="12" stopIfTrue="1" operator="greaterThan">
      <formula>$D$76</formula>
    </cfRule>
  </conditionalFormatting>
  <conditionalFormatting sqref="C74">
    <cfRule type="cellIs" dxfId="143" priority="13" stopIfTrue="1" operator="greaterThan">
      <formula>$C$76</formula>
    </cfRule>
  </conditionalFormatting>
  <conditionalFormatting sqref="C72">
    <cfRule type="cellIs" dxfId="142" priority="14" stopIfTrue="1" operator="greaterThan">
      <formula>$C$74*0.1</formula>
    </cfRule>
  </conditionalFormatting>
  <conditionalFormatting sqref="D72">
    <cfRule type="cellIs" dxfId="141" priority="15" stopIfTrue="1" operator="greaterThan">
      <formula>$D$74*0.1</formula>
    </cfRule>
  </conditionalFormatting>
  <conditionalFormatting sqref="C30">
    <cfRule type="cellIs" dxfId="140" priority="16" stopIfTrue="1" operator="greaterThan">
      <formula>$C$32*0.1</formula>
    </cfRule>
  </conditionalFormatting>
  <conditionalFormatting sqref="D30">
    <cfRule type="cellIs" dxfId="139" priority="17" stopIfTrue="1" operator="greaterThan">
      <formula>$D$32*0.1</formula>
    </cfRule>
  </conditionalFormatting>
  <conditionalFormatting sqref="D60">
    <cfRule type="cellIs" dxfId="138" priority="18" stopIfTrue="1" operator="greaterThan">
      <formula>$D$62*0.1</formula>
    </cfRule>
  </conditionalFormatting>
  <conditionalFormatting sqref="C60">
    <cfRule type="cellIs" dxfId="137" priority="19" stopIfTrue="1" operator="greaterThan">
      <formula>$C$62*0.1</formula>
    </cfRule>
  </conditionalFormatting>
  <conditionalFormatting sqref="D18">
    <cfRule type="cellIs" dxfId="136" priority="20" stopIfTrue="1" operator="greaterThan">
      <formula>$D$20*0.1</formula>
    </cfRule>
  </conditionalFormatting>
  <conditionalFormatting sqref="C18">
    <cfRule type="cellIs" dxfId="135" priority="21" stopIfTrue="1" operator="greaterThan">
      <formula>$C$20*0.1</formula>
    </cfRule>
  </conditionalFormatting>
  <conditionalFormatting sqref="E60">
    <cfRule type="cellIs" dxfId="134" priority="22" stopIfTrue="1" operator="greaterThan">
      <formula>$E$62*0.1+E81</formula>
    </cfRule>
  </conditionalFormatting>
  <conditionalFormatting sqref="E18">
    <cfRule type="cellIs" dxfId="133" priority="23" stopIfTrue="1" operator="greaterThan">
      <formula>$E$20*0.1+E39</formula>
    </cfRule>
  </conditionalFormatting>
  <conditionalFormatting sqref="D75 D33">
    <cfRule type="cellIs" dxfId="132" priority="4" stopIfTrue="1" operator="lessThan">
      <formula>0</formula>
    </cfRule>
  </conditionalFormatting>
  <conditionalFormatting sqref="J76">
    <cfRule type="containsText" dxfId="131" priority="2" operator="containsText" text="Yes">
      <formula>NOT(ISERROR(SEARCH("Yes",J76)))</formula>
    </cfRule>
  </conditionalFormatting>
  <conditionalFormatting sqref="J34">
    <cfRule type="containsText" dxfId="130" priority="1" operator="containsText" text="Yes">
      <formula>NOT(ISERROR(SEARCH("Yes",J34)))</formula>
    </cfRule>
  </conditionalFormatting>
  <pageMargins left="0.5" right="0.5" top="1" bottom="0.5" header="0.5" footer="0.5"/>
  <pageSetup scale="50" orientation="portrait" blackAndWhite="1" horizontalDpi="120" verticalDpi="144" r:id="rId1"/>
  <headerFooter alignWithMargins="0">
    <oddHeader xml:space="preserve">&amp;RState of Kansas
City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tabColor rgb="FF00B0F0"/>
    <pageSetUpPr fitToPage="1"/>
  </sheetPr>
  <dimension ref="B1:E64"/>
  <sheetViews>
    <sheetView topLeftCell="A37" workbookViewId="0">
      <selection activeCell="C64" sqref="C64"/>
    </sheetView>
  </sheetViews>
  <sheetFormatPr defaultRowHeight="15.75" x14ac:dyDescent="0.2"/>
  <cols>
    <col min="1" max="1" width="2.44140625" style="7" customWidth="1"/>
    <col min="2" max="2" width="31.109375" style="7" customWidth="1"/>
    <col min="3" max="4" width="15.77734375" style="7" customWidth="1"/>
    <col min="5" max="5" width="16.21875" style="7" customWidth="1"/>
    <col min="6" max="16384" width="8.88671875" style="7"/>
  </cols>
  <sheetData>
    <row r="1" spans="2:5" x14ac:dyDescent="0.2">
      <c r="B1" s="112" t="str">
        <f>(inputPrYr!D3)</f>
        <v>Valley Falls</v>
      </c>
      <c r="C1" s="6"/>
      <c r="D1" s="6"/>
      <c r="E1" s="158">
        <f>inputPrYr!C6</f>
        <v>2023</v>
      </c>
    </row>
    <row r="2" spans="2:5" x14ac:dyDescent="0.2">
      <c r="B2" s="6"/>
      <c r="C2" s="6"/>
      <c r="D2" s="6"/>
      <c r="E2" s="108"/>
    </row>
    <row r="3" spans="2:5" x14ac:dyDescent="0.2">
      <c r="B3" s="17" t="s">
        <v>85</v>
      </c>
      <c r="C3" s="197"/>
      <c r="D3" s="197"/>
      <c r="E3" s="197"/>
    </row>
    <row r="4" spans="2:5" x14ac:dyDescent="0.2">
      <c r="B4" s="9" t="s">
        <v>20</v>
      </c>
      <c r="C4" s="539" t="s">
        <v>665</v>
      </c>
      <c r="D4" s="540" t="s">
        <v>666</v>
      </c>
      <c r="E4" s="89" t="s">
        <v>667</v>
      </c>
    </row>
    <row r="5" spans="2:5" x14ac:dyDescent="0.2">
      <c r="B5" s="298" t="str">
        <f>(inputPrYr!B36)</f>
        <v>Special Highway</v>
      </c>
      <c r="C5" s="283" t="str">
        <f>CONCATENATE("Actual for ",E1-2,"")</f>
        <v>Actual for 2021</v>
      </c>
      <c r="D5" s="283" t="str">
        <f>CONCATENATE("Estimate for ",E1-1,"")</f>
        <v>Estimate for 2022</v>
      </c>
      <c r="E5" s="166" t="str">
        <f>CONCATENATE("Year for ",E1,"")</f>
        <v>Year for 2023</v>
      </c>
    </row>
    <row r="6" spans="2:5" x14ac:dyDescent="0.2">
      <c r="B6" s="167" t="s">
        <v>99</v>
      </c>
      <c r="C6" s="26">
        <v>73365</v>
      </c>
      <c r="D6" s="139">
        <f>C26</f>
        <v>96195</v>
      </c>
      <c r="E6" s="139">
        <f>D26</f>
        <v>339845</v>
      </c>
    </row>
    <row r="7" spans="2:5" x14ac:dyDescent="0.2">
      <c r="B7" s="170" t="s">
        <v>101</v>
      </c>
      <c r="C7" s="41"/>
      <c r="D7" s="41"/>
      <c r="E7" s="41"/>
    </row>
    <row r="8" spans="2:5" x14ac:dyDescent="0.2">
      <c r="B8" s="181" t="s">
        <v>94</v>
      </c>
      <c r="C8" s="26">
        <v>74919</v>
      </c>
      <c r="D8" s="139">
        <f>inputOth!E58</f>
        <v>29650</v>
      </c>
      <c r="E8" s="139">
        <f>inputOth!E56</f>
        <v>32060</v>
      </c>
    </row>
    <row r="9" spans="2:5" x14ac:dyDescent="0.2">
      <c r="B9" s="181" t="s">
        <v>187</v>
      </c>
      <c r="C9" s="26"/>
      <c r="D9" s="139">
        <f>inputOth!E59</f>
        <v>0</v>
      </c>
      <c r="E9" s="139">
        <f>inputOth!E57</f>
        <v>0</v>
      </c>
    </row>
    <row r="10" spans="2:5" x14ac:dyDescent="0.2">
      <c r="B10" s="180" t="s">
        <v>1112</v>
      </c>
      <c r="C10" s="26"/>
      <c r="D10" s="26">
        <v>60350</v>
      </c>
      <c r="E10" s="26">
        <v>60350</v>
      </c>
    </row>
    <row r="11" spans="2:5" x14ac:dyDescent="0.2">
      <c r="B11" s="180" t="s">
        <v>1099</v>
      </c>
      <c r="C11" s="26"/>
      <c r="D11" s="26"/>
      <c r="E11" s="26">
        <v>80431</v>
      </c>
    </row>
    <row r="12" spans="2:5" x14ac:dyDescent="0.2">
      <c r="B12" s="180" t="s">
        <v>1113</v>
      </c>
      <c r="C12" s="26"/>
      <c r="D12" s="26">
        <v>243650</v>
      </c>
      <c r="E12" s="26"/>
    </row>
    <row r="13" spans="2:5" x14ac:dyDescent="0.2">
      <c r="B13" s="103" t="s">
        <v>192</v>
      </c>
      <c r="C13" s="26"/>
      <c r="D13" s="26"/>
      <c r="E13" s="26"/>
    </row>
    <row r="14" spans="2:5" x14ac:dyDescent="0.2">
      <c r="B14" s="167" t="s">
        <v>654</v>
      </c>
      <c r="C14" s="299" t="str">
        <f>IF(C15*0.1&lt;C13,"Exceed 10% Rule","")</f>
        <v/>
      </c>
      <c r="D14" s="194" t="str">
        <f>IF(D15*0.1&lt;D13,"Exceed 10% Rule","")</f>
        <v/>
      </c>
      <c r="E14" s="194" t="str">
        <f>IF(E15*0.1&lt;E13,"Exceed 10% Rule","")</f>
        <v/>
      </c>
    </row>
    <row r="15" spans="2:5" x14ac:dyDescent="0.2">
      <c r="B15" s="177" t="s">
        <v>27</v>
      </c>
      <c r="C15" s="198">
        <f>SUM(C8:C13)</f>
        <v>74919</v>
      </c>
      <c r="D15" s="198">
        <f>SUM(D8:D13)</f>
        <v>333650</v>
      </c>
      <c r="E15" s="198">
        <f>SUM(E8:E13)</f>
        <v>172841</v>
      </c>
    </row>
    <row r="16" spans="2:5" x14ac:dyDescent="0.2">
      <c r="B16" s="177" t="s">
        <v>28</v>
      </c>
      <c r="C16" s="198">
        <f>C6+C15</f>
        <v>148284</v>
      </c>
      <c r="D16" s="198">
        <f>D6+D15</f>
        <v>429845</v>
      </c>
      <c r="E16" s="198">
        <f>E6+E15</f>
        <v>512686</v>
      </c>
    </row>
    <row r="17" spans="2:5" x14ac:dyDescent="0.2">
      <c r="B17" s="95" t="s">
        <v>30</v>
      </c>
      <c r="C17" s="139"/>
      <c r="D17" s="139"/>
      <c r="E17" s="139"/>
    </row>
    <row r="18" spans="2:5" x14ac:dyDescent="0.2">
      <c r="B18" s="180" t="s">
        <v>1114</v>
      </c>
      <c r="C18" s="26">
        <v>52089</v>
      </c>
      <c r="D18" s="26">
        <v>90000</v>
      </c>
      <c r="E18" s="26">
        <v>172841</v>
      </c>
    </row>
    <row r="19" spans="2:5" x14ac:dyDescent="0.2">
      <c r="B19" s="180"/>
      <c r="C19" s="26"/>
      <c r="D19" s="26"/>
      <c r="E19" s="26"/>
    </row>
    <row r="20" spans="2:5" x14ac:dyDescent="0.2">
      <c r="B20" s="180"/>
      <c r="C20" s="26"/>
      <c r="D20" s="26"/>
      <c r="E20" s="26"/>
    </row>
    <row r="21" spans="2:5" x14ac:dyDescent="0.2">
      <c r="B21" s="180"/>
      <c r="C21" s="26"/>
      <c r="D21" s="26"/>
      <c r="E21" s="26"/>
    </row>
    <row r="22" spans="2:5" x14ac:dyDescent="0.2">
      <c r="B22" s="181" t="str">
        <f>CONCATENATE("Cash Forward (",E1," column)")</f>
        <v>Cash Forward (2023 column)</v>
      </c>
      <c r="C22" s="26"/>
      <c r="D22" s="26"/>
      <c r="E22" s="26"/>
    </row>
    <row r="23" spans="2:5" x14ac:dyDescent="0.2">
      <c r="B23" s="181" t="s">
        <v>192</v>
      </c>
      <c r="C23" s="26"/>
      <c r="D23" s="26"/>
      <c r="E23" s="26"/>
    </row>
    <row r="24" spans="2:5" x14ac:dyDescent="0.2">
      <c r="B24" s="181" t="s">
        <v>655</v>
      </c>
      <c r="C24" s="299" t="str">
        <f>IF(C25*0.1&lt;C23,"Exceed 10% Rule","")</f>
        <v/>
      </c>
      <c r="D24" s="194" t="str">
        <f>IF(D25*0.1&lt;D23,"Exceed 10% Rule","")</f>
        <v/>
      </c>
      <c r="E24" s="194" t="str">
        <f>IF(E25*0.1&lt;E23,"Exceed 10% Rule","")</f>
        <v/>
      </c>
    </row>
    <row r="25" spans="2:5" x14ac:dyDescent="0.2">
      <c r="B25" s="177" t="s">
        <v>34</v>
      </c>
      <c r="C25" s="198">
        <f>SUM(C18:C23)</f>
        <v>52089</v>
      </c>
      <c r="D25" s="198">
        <f>SUM(D18:D23)</f>
        <v>90000</v>
      </c>
      <c r="E25" s="198">
        <f>SUM(E18:E23)</f>
        <v>172841</v>
      </c>
    </row>
    <row r="26" spans="2:5" x14ac:dyDescent="0.2">
      <c r="B26" s="95" t="s">
        <v>100</v>
      </c>
      <c r="C26" s="139">
        <f>C16-C25</f>
        <v>96195</v>
      </c>
      <c r="D26" s="139">
        <f>D16-D25</f>
        <v>339845</v>
      </c>
      <c r="E26" s="139">
        <f>E16-E25</f>
        <v>339845</v>
      </c>
    </row>
    <row r="27" spans="2:5" x14ac:dyDescent="0.2">
      <c r="B27" s="110" t="str">
        <f>CONCATENATE("",E1-2,"/",E1-1,"/",E1," Budget Authority Amount:")</f>
        <v>2021/2022/2023 Budget Authority Amount:</v>
      </c>
      <c r="C27" s="428">
        <f>inputOth!B79</f>
        <v>130000</v>
      </c>
      <c r="D27" s="428">
        <f>inputPrYr!D36</f>
        <v>90000</v>
      </c>
      <c r="E27" s="139">
        <f>E25</f>
        <v>172841</v>
      </c>
    </row>
    <row r="28" spans="2:5" x14ac:dyDescent="0.2">
      <c r="B28" s="83"/>
      <c r="C28" s="184" t="str">
        <f>IF(C25&gt;C27,"See Tab A","")</f>
        <v/>
      </c>
      <c r="D28" s="184" t="str">
        <f>IF(D25&gt;D27,"See Tab C","")</f>
        <v/>
      </c>
      <c r="E28" s="593" t="str">
        <f>IF(E26&lt;0,"See Tab E","")</f>
        <v/>
      </c>
    </row>
    <row r="29" spans="2:5" x14ac:dyDescent="0.2">
      <c r="B29" s="83"/>
      <c r="C29" s="184" t="str">
        <f>IF(C26&lt;0,"See Tab B","")</f>
        <v/>
      </c>
      <c r="D29" s="184" t="str">
        <f>IF(D26&lt;0,"See Tab D","")</f>
        <v/>
      </c>
      <c r="E29" s="27"/>
    </row>
    <row r="30" spans="2:5" x14ac:dyDescent="0.2">
      <c r="B30" s="6"/>
      <c r="C30" s="27"/>
      <c r="D30" s="27"/>
      <c r="E30" s="27"/>
    </row>
    <row r="31" spans="2:5" x14ac:dyDescent="0.2">
      <c r="B31" s="9" t="s">
        <v>20</v>
      </c>
      <c r="C31" s="203"/>
      <c r="D31" s="203"/>
      <c r="E31" s="203"/>
    </row>
    <row r="32" spans="2:5" x14ac:dyDescent="0.2">
      <c r="B32" s="6"/>
      <c r="C32" s="187" t="str">
        <f t="shared" ref="C32:E33" si="0">C4</f>
        <v xml:space="preserve">Prior Year </v>
      </c>
      <c r="D32" s="89" t="str">
        <f t="shared" si="0"/>
        <v>Current Year</v>
      </c>
      <c r="E32" s="89" t="str">
        <f t="shared" si="0"/>
        <v>Proposed Budget</v>
      </c>
    </row>
    <row r="33" spans="2:5" x14ac:dyDescent="0.2">
      <c r="B33" s="297" t="str">
        <f>(inputPrYr!B37)</f>
        <v xml:space="preserve">RHID </v>
      </c>
      <c r="C33" s="166" t="str">
        <f t="shared" si="0"/>
        <v>Actual for 2021</v>
      </c>
      <c r="D33" s="166" t="str">
        <f t="shared" si="0"/>
        <v>Estimate for 2022</v>
      </c>
      <c r="E33" s="166" t="str">
        <f t="shared" si="0"/>
        <v>Year for 2023</v>
      </c>
    </row>
    <row r="34" spans="2:5" x14ac:dyDescent="0.2">
      <c r="B34" s="167" t="s">
        <v>99</v>
      </c>
      <c r="C34" s="26"/>
      <c r="D34" s="139">
        <f>C57</f>
        <v>0</v>
      </c>
      <c r="E34" s="139">
        <f>D57</f>
        <v>0</v>
      </c>
    </row>
    <row r="35" spans="2:5" x14ac:dyDescent="0.2">
      <c r="B35" s="167" t="s">
        <v>101</v>
      </c>
      <c r="C35" s="41"/>
      <c r="D35" s="41"/>
      <c r="E35" s="41"/>
    </row>
    <row r="36" spans="2:5" x14ac:dyDescent="0.2">
      <c r="B36" s="180"/>
      <c r="C36" s="26"/>
      <c r="D36" s="26"/>
      <c r="E36" s="26"/>
    </row>
    <row r="37" spans="2:5" x14ac:dyDescent="0.2">
      <c r="B37" s="180" t="s">
        <v>1115</v>
      </c>
      <c r="C37" s="26"/>
      <c r="D37" s="26"/>
      <c r="E37" s="26">
        <v>60000</v>
      </c>
    </row>
    <row r="38" spans="2:5" x14ac:dyDescent="0.2">
      <c r="B38" s="180"/>
      <c r="C38" s="26"/>
      <c r="D38" s="26"/>
      <c r="E38" s="26"/>
    </row>
    <row r="39" spans="2:5" x14ac:dyDescent="0.2">
      <c r="B39" s="180"/>
      <c r="C39" s="26"/>
      <c r="D39" s="26"/>
      <c r="E39" s="26"/>
    </row>
    <row r="40" spans="2:5" x14ac:dyDescent="0.2">
      <c r="B40" s="175" t="s">
        <v>26</v>
      </c>
      <c r="C40" s="26"/>
      <c r="D40" s="26"/>
      <c r="E40" s="26"/>
    </row>
    <row r="41" spans="2:5" x14ac:dyDescent="0.2">
      <c r="B41" s="103" t="s">
        <v>192</v>
      </c>
      <c r="C41" s="26"/>
      <c r="D41" s="26"/>
      <c r="E41" s="26"/>
    </row>
    <row r="42" spans="2:5" x14ac:dyDescent="0.2">
      <c r="B42" s="167" t="s">
        <v>654</v>
      </c>
      <c r="C42" s="299" t="str">
        <f>IF(C43*0.1&lt;C41,"Exceed 10% Rule","")</f>
        <v/>
      </c>
      <c r="D42" s="194" t="str">
        <f>IF(D43*0.1&lt;D41,"Exceed 10% Rule","")</f>
        <v/>
      </c>
      <c r="E42" s="194" t="str">
        <f>IF(E43*0.1&lt;E41,"Exceed 10% Rule","")</f>
        <v/>
      </c>
    </row>
    <row r="43" spans="2:5" x14ac:dyDescent="0.2">
      <c r="B43" s="177" t="s">
        <v>27</v>
      </c>
      <c r="C43" s="198">
        <f>SUM(C36:C41)</f>
        <v>0</v>
      </c>
      <c r="D43" s="198">
        <f>SUM(D36:D41)</f>
        <v>0</v>
      </c>
      <c r="E43" s="198">
        <f>SUM(E36:E41)</f>
        <v>60000</v>
      </c>
    </row>
    <row r="44" spans="2:5" x14ac:dyDescent="0.2">
      <c r="B44" s="177" t="s">
        <v>28</v>
      </c>
      <c r="C44" s="198">
        <f>C34+C43</f>
        <v>0</v>
      </c>
      <c r="D44" s="198">
        <f>D34+D43</f>
        <v>0</v>
      </c>
      <c r="E44" s="198">
        <f>E34+E43</f>
        <v>60000</v>
      </c>
    </row>
    <row r="45" spans="2:5" x14ac:dyDescent="0.2">
      <c r="B45" s="95" t="s">
        <v>30</v>
      </c>
      <c r="C45" s="139"/>
      <c r="D45" s="139"/>
      <c r="E45" s="139"/>
    </row>
    <row r="46" spans="2:5" x14ac:dyDescent="0.2">
      <c r="B46" s="180" t="s">
        <v>1108</v>
      </c>
      <c r="C46" s="26"/>
      <c r="D46" s="26"/>
      <c r="E46" s="26">
        <v>60000</v>
      </c>
    </row>
    <row r="47" spans="2:5" x14ac:dyDescent="0.2">
      <c r="B47" s="180"/>
      <c r="C47" s="26"/>
      <c r="D47" s="26"/>
      <c r="E47" s="26"/>
    </row>
    <row r="48" spans="2:5" x14ac:dyDescent="0.2">
      <c r="B48" s="180"/>
      <c r="C48" s="26"/>
      <c r="D48" s="26"/>
      <c r="E48" s="26"/>
    </row>
    <row r="49" spans="2:5" x14ac:dyDescent="0.2">
      <c r="B49" s="180"/>
      <c r="C49" s="26"/>
      <c r="D49" s="26"/>
      <c r="E49" s="26"/>
    </row>
    <row r="50" spans="2:5" x14ac:dyDescent="0.2">
      <c r="B50" s="180"/>
      <c r="C50" s="26"/>
      <c r="D50" s="26"/>
      <c r="E50" s="26"/>
    </row>
    <row r="51" spans="2:5" x14ac:dyDescent="0.2">
      <c r="B51" s="180"/>
      <c r="C51" s="26"/>
      <c r="D51" s="26"/>
      <c r="E51" s="26"/>
    </row>
    <row r="52" spans="2:5" x14ac:dyDescent="0.2">
      <c r="B52" s="180"/>
      <c r="C52" s="26"/>
      <c r="D52" s="26"/>
      <c r="E52" s="26"/>
    </row>
    <row r="53" spans="2:5" x14ac:dyDescent="0.2">
      <c r="B53" s="181" t="str">
        <f>CONCATENATE("Cash Forward (",E1," column)")</f>
        <v>Cash Forward (2023 column)</v>
      </c>
      <c r="C53" s="26"/>
      <c r="D53" s="26"/>
      <c r="E53" s="26"/>
    </row>
    <row r="54" spans="2:5" x14ac:dyDescent="0.2">
      <c r="B54" s="181" t="s">
        <v>192</v>
      </c>
      <c r="C54" s="26"/>
      <c r="D54" s="26"/>
      <c r="E54" s="26"/>
    </row>
    <row r="55" spans="2:5" x14ac:dyDescent="0.2">
      <c r="B55" s="181" t="s">
        <v>655</v>
      </c>
      <c r="C55" s="299" t="str">
        <f>IF(C56*0.1&lt;C54,"Exceed 10% Rule","")</f>
        <v/>
      </c>
      <c r="D55" s="194" t="str">
        <f>IF(D56*0.1&lt;D54,"Exceed 10% Rule","")</f>
        <v/>
      </c>
      <c r="E55" s="194" t="str">
        <f>IF(E56*0.1&lt;E54,"Exceed 10% Rule","")</f>
        <v/>
      </c>
    </row>
    <row r="56" spans="2:5" x14ac:dyDescent="0.2">
      <c r="B56" s="177" t="s">
        <v>34</v>
      </c>
      <c r="C56" s="198">
        <f>SUM(C46:C54)</f>
        <v>0</v>
      </c>
      <c r="D56" s="198">
        <f>SUM(D46:D54)</f>
        <v>0</v>
      </c>
      <c r="E56" s="198">
        <f>SUM(E46:E54)</f>
        <v>60000</v>
      </c>
    </row>
    <row r="57" spans="2:5" x14ac:dyDescent="0.2">
      <c r="B57" s="95" t="s">
        <v>100</v>
      </c>
      <c r="C57" s="139">
        <f>C44-C56</f>
        <v>0</v>
      </c>
      <c r="D57" s="139">
        <f>D44-D56</f>
        <v>0</v>
      </c>
      <c r="E57" s="139">
        <f>E44-E56</f>
        <v>0</v>
      </c>
    </row>
    <row r="58" spans="2:5" x14ac:dyDescent="0.2">
      <c r="B58" s="110" t="str">
        <f>CONCATENATE("",E1-2,"/",E1-1,"/",E1," Budget Authority Amount:")</f>
        <v>2021/2022/2023 Budget Authority Amount:</v>
      </c>
      <c r="C58" s="428">
        <f>inputOth!B80</f>
        <v>53554</v>
      </c>
      <c r="D58" s="428">
        <f>inputPrYr!D37</f>
        <v>0</v>
      </c>
      <c r="E58" s="139">
        <f>E56</f>
        <v>60000</v>
      </c>
    </row>
    <row r="59" spans="2:5" x14ac:dyDescent="0.2">
      <c r="B59" s="83"/>
      <c r="C59" s="184" t="str">
        <f>IF(C56&gt;C58,"See Tab A","")</f>
        <v/>
      </c>
      <c r="D59" s="184" t="str">
        <f>IF(D56&gt;D58,"See Tab C","")</f>
        <v/>
      </c>
      <c r="E59" s="593" t="str">
        <f>IF(E57&lt;0,"See Tab E","")</f>
        <v/>
      </c>
    </row>
    <row r="60" spans="2:5" x14ac:dyDescent="0.2">
      <c r="B60" s="728" t="s">
        <v>839</v>
      </c>
      <c r="C60" s="701"/>
      <c r="D60" s="701"/>
      <c r="E60" s="702"/>
    </row>
    <row r="61" spans="2:5" x14ac:dyDescent="0.2">
      <c r="B61" s="703"/>
      <c r="C61" s="704" t="str">
        <f>IF(C57&lt;0,"See Tab B","")</f>
        <v/>
      </c>
      <c r="D61" s="704" t="str">
        <f>IF(D57&lt;0,"See Tab D","")</f>
        <v/>
      </c>
      <c r="E61" s="546"/>
    </row>
    <row r="62" spans="2:5" x14ac:dyDescent="0.2">
      <c r="B62" s="705"/>
      <c r="C62" s="706"/>
      <c r="D62" s="706"/>
      <c r="E62" s="45"/>
    </row>
    <row r="63" spans="2:5" x14ac:dyDescent="0.2">
      <c r="B63" s="6"/>
      <c r="C63" s="6"/>
      <c r="D63" s="6"/>
      <c r="E63" s="6"/>
    </row>
    <row r="64" spans="2:5" x14ac:dyDescent="0.2">
      <c r="B64" s="83" t="s">
        <v>37</v>
      </c>
      <c r="C64" s="600">
        <v>13</v>
      </c>
      <c r="D64" s="6"/>
      <c r="E64" s="6"/>
    </row>
  </sheetData>
  <sheetProtection sheet="1" objects="1" scenarios="1"/>
  <phoneticPr fontId="0" type="noConversion"/>
  <conditionalFormatting sqref="C41">
    <cfRule type="cellIs" dxfId="129" priority="5" stopIfTrue="1" operator="greaterThan">
      <formula>$C$43*0.1</formula>
    </cfRule>
  </conditionalFormatting>
  <conditionalFormatting sqref="D41">
    <cfRule type="cellIs" dxfId="128" priority="6" stopIfTrue="1" operator="greaterThan">
      <formula>$D$43*0.1</formula>
    </cfRule>
  </conditionalFormatting>
  <conditionalFormatting sqref="E41">
    <cfRule type="cellIs" dxfId="127" priority="7" stopIfTrue="1" operator="greaterThan">
      <formula>$E$43*0.1</formula>
    </cfRule>
  </conditionalFormatting>
  <conditionalFormatting sqref="C54">
    <cfRule type="cellIs" dxfId="126" priority="8" stopIfTrue="1" operator="greaterThan">
      <formula>$C$56*0.1</formula>
    </cfRule>
  </conditionalFormatting>
  <conditionalFormatting sqref="D54">
    <cfRule type="cellIs" dxfId="125" priority="9" stopIfTrue="1" operator="greaterThan">
      <formula>$D$56*0.1</formula>
    </cfRule>
  </conditionalFormatting>
  <conditionalFormatting sqref="E54">
    <cfRule type="cellIs" dxfId="124" priority="10" stopIfTrue="1" operator="greaterThan">
      <formula>$E$56*0.1</formula>
    </cfRule>
  </conditionalFormatting>
  <conditionalFormatting sqref="C13">
    <cfRule type="cellIs" dxfId="123" priority="11" stopIfTrue="1" operator="greaterThan">
      <formula>$C$15*0.1</formula>
    </cfRule>
  </conditionalFormatting>
  <conditionalFormatting sqref="D13">
    <cfRule type="cellIs" dxfId="122" priority="12" stopIfTrue="1" operator="greaterThan">
      <formula>$D$15*0.1</formula>
    </cfRule>
  </conditionalFormatting>
  <conditionalFormatting sqref="E13">
    <cfRule type="cellIs" dxfId="121" priority="13" stopIfTrue="1" operator="greaterThan">
      <formula>$E$15*0.1</formula>
    </cfRule>
  </conditionalFormatting>
  <conditionalFormatting sqref="C23">
    <cfRule type="cellIs" dxfId="120" priority="14" stopIfTrue="1" operator="greaterThan">
      <formula>$C$25*0.1</formula>
    </cfRule>
  </conditionalFormatting>
  <conditionalFormatting sqref="D23">
    <cfRule type="cellIs" dxfId="119" priority="15" stopIfTrue="1" operator="greaterThan">
      <formula>$D$25*0.1</formula>
    </cfRule>
  </conditionalFormatting>
  <conditionalFormatting sqref="E23">
    <cfRule type="cellIs" dxfId="118" priority="16" stopIfTrue="1" operator="greaterThan">
      <formula>$E$25*0.1</formula>
    </cfRule>
  </conditionalFormatting>
  <conditionalFormatting sqref="E57 C57 E26 C26">
    <cfRule type="cellIs" dxfId="117" priority="17" stopIfTrue="1" operator="lessThan">
      <formula>0</formula>
    </cfRule>
  </conditionalFormatting>
  <conditionalFormatting sqref="D56">
    <cfRule type="cellIs" dxfId="116" priority="18" stopIfTrue="1" operator="greaterThan">
      <formula>$D$58</formula>
    </cfRule>
  </conditionalFormatting>
  <conditionalFormatting sqref="C56">
    <cfRule type="cellIs" dxfId="115" priority="19" stopIfTrue="1" operator="greaterThan">
      <formula>$C$58</formula>
    </cfRule>
  </conditionalFormatting>
  <conditionalFormatting sqref="D25">
    <cfRule type="cellIs" dxfId="114" priority="20" stopIfTrue="1" operator="greaterThan">
      <formula>$D$27</formula>
    </cfRule>
  </conditionalFormatting>
  <conditionalFormatting sqref="C25">
    <cfRule type="cellIs" dxfId="113" priority="21" stopIfTrue="1" operator="greaterThan">
      <formula>$C$27</formula>
    </cfRule>
  </conditionalFormatting>
  <conditionalFormatting sqref="D57">
    <cfRule type="cellIs" dxfId="112" priority="4" stopIfTrue="1" operator="lessThan">
      <formula>0</formula>
    </cfRule>
  </conditionalFormatting>
  <conditionalFormatting sqref="D26">
    <cfRule type="cellIs" dxfId="111" priority="3" stopIfTrue="1" operator="lessThan">
      <formula>0</formula>
    </cfRule>
  </conditionalFormatting>
  <conditionalFormatting sqref="E27">
    <cfRule type="cellIs" dxfId="110" priority="2" stopIfTrue="1" operator="lessThan">
      <formula>0</formula>
    </cfRule>
  </conditionalFormatting>
  <conditionalFormatting sqref="E58">
    <cfRule type="cellIs" dxfId="109" priority="1" stopIfTrue="1" operator="lessThan">
      <formula>0</formula>
    </cfRule>
  </conditionalFormatting>
  <pageMargins left="0.5" right="0.5" top="1" bottom="0.5" header="0.5" footer="0.5"/>
  <pageSetup scale="72" orientation="portrait" blackAndWhite="1" horizontalDpi="120" verticalDpi="144" r:id="rId1"/>
  <headerFooter alignWithMargins="0">
    <oddHeader xml:space="preserve">&amp;RState of Kansas
City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tabColor rgb="FF00B0F0"/>
    <pageSetUpPr fitToPage="1"/>
  </sheetPr>
  <dimension ref="B1:E77"/>
  <sheetViews>
    <sheetView topLeftCell="A37" workbookViewId="0">
      <selection activeCell="E51" sqref="E51"/>
    </sheetView>
  </sheetViews>
  <sheetFormatPr defaultRowHeight="15.75" x14ac:dyDescent="0.2"/>
  <cols>
    <col min="1" max="1" width="2.44140625" style="7" customWidth="1"/>
    <col min="2" max="2" width="31.109375" style="7" customWidth="1"/>
    <col min="3" max="4" width="15.77734375" style="7" customWidth="1"/>
    <col min="5" max="5" width="16.21875" style="7" customWidth="1"/>
    <col min="6" max="16384" width="8.88671875" style="7"/>
  </cols>
  <sheetData>
    <row r="1" spans="2:5" x14ac:dyDescent="0.2">
      <c r="B1" s="112" t="str">
        <f>(inputPrYr!D3)</f>
        <v>Valley Falls</v>
      </c>
      <c r="C1" s="6"/>
      <c r="D1" s="6"/>
      <c r="E1" s="158">
        <f>inputPrYr!C6</f>
        <v>2023</v>
      </c>
    </row>
    <row r="2" spans="2:5" x14ac:dyDescent="0.2">
      <c r="B2" s="6"/>
      <c r="C2" s="6"/>
      <c r="D2" s="6"/>
      <c r="E2" s="108"/>
    </row>
    <row r="3" spans="2:5" x14ac:dyDescent="0.2">
      <c r="B3" s="17" t="s">
        <v>85</v>
      </c>
      <c r="C3" s="197"/>
      <c r="D3" s="197"/>
      <c r="E3" s="197"/>
    </row>
    <row r="4" spans="2:5" x14ac:dyDescent="0.2">
      <c r="B4" s="9" t="s">
        <v>20</v>
      </c>
      <c r="C4" s="539" t="s">
        <v>665</v>
      </c>
      <c r="D4" s="540" t="s">
        <v>666</v>
      </c>
      <c r="E4" s="89" t="s">
        <v>667</v>
      </c>
    </row>
    <row r="5" spans="2:5" x14ac:dyDescent="0.2">
      <c r="B5" s="298" t="str">
        <f>(inputPrYr!B38)</f>
        <v>Water Utility</v>
      </c>
      <c r="C5" s="283" t="str">
        <f>CONCATENATE("Actual for ",E1-2,"")</f>
        <v>Actual for 2021</v>
      </c>
      <c r="D5" s="283" t="str">
        <f>CONCATENATE("Estimate for ",E1-1,"")</f>
        <v>Estimate for 2022</v>
      </c>
      <c r="E5" s="166" t="str">
        <f>CONCATENATE("Year for ",E1,"")</f>
        <v>Year for 2023</v>
      </c>
    </row>
    <row r="6" spans="2:5" x14ac:dyDescent="0.2">
      <c r="B6" s="167" t="s">
        <v>99</v>
      </c>
      <c r="C6" s="26">
        <v>158285</v>
      </c>
      <c r="D6" s="139">
        <f>C33</f>
        <v>141397</v>
      </c>
      <c r="E6" s="139">
        <f>D33</f>
        <v>141397</v>
      </c>
    </row>
    <row r="7" spans="2:5" x14ac:dyDescent="0.2">
      <c r="B7" s="170" t="s">
        <v>101</v>
      </c>
      <c r="C7" s="41"/>
      <c r="D7" s="41"/>
      <c r="E7" s="41"/>
    </row>
    <row r="8" spans="2:5" x14ac:dyDescent="0.2">
      <c r="B8" s="180" t="s">
        <v>1079</v>
      </c>
      <c r="C8" s="26"/>
      <c r="D8" s="26">
        <v>0</v>
      </c>
      <c r="E8" s="26">
        <v>500</v>
      </c>
    </row>
    <row r="9" spans="2:5" x14ac:dyDescent="0.2">
      <c r="B9" s="180" t="s">
        <v>1116</v>
      </c>
      <c r="C9" s="26"/>
      <c r="D9" s="26">
        <v>0</v>
      </c>
      <c r="E9" s="26">
        <v>1500</v>
      </c>
    </row>
    <row r="10" spans="2:5" x14ac:dyDescent="0.2">
      <c r="B10" s="180" t="s">
        <v>1117</v>
      </c>
      <c r="C10" s="26"/>
      <c r="D10" s="26">
        <v>1500</v>
      </c>
      <c r="E10" s="26">
        <v>2500</v>
      </c>
    </row>
    <row r="11" spans="2:5" x14ac:dyDescent="0.2">
      <c r="B11" s="180" t="s">
        <v>1118</v>
      </c>
      <c r="C11" s="26">
        <v>215551</v>
      </c>
      <c r="D11" s="26">
        <v>220000</v>
      </c>
      <c r="E11" s="26">
        <v>430000</v>
      </c>
    </row>
    <row r="12" spans="2:5" x14ac:dyDescent="0.2">
      <c r="B12" s="180" t="s">
        <v>1119</v>
      </c>
      <c r="C12" s="26"/>
      <c r="D12" s="26">
        <v>7500</v>
      </c>
      <c r="E12" s="26">
        <v>5000</v>
      </c>
    </row>
    <row r="13" spans="2:5" x14ac:dyDescent="0.2">
      <c r="B13" s="180" t="s">
        <v>1120</v>
      </c>
      <c r="C13" s="26"/>
      <c r="D13" s="26">
        <v>2700</v>
      </c>
      <c r="E13" s="26">
        <v>3000</v>
      </c>
    </row>
    <row r="14" spans="2:5" x14ac:dyDescent="0.2">
      <c r="B14" s="180" t="s">
        <v>1096</v>
      </c>
      <c r="C14" s="26"/>
      <c r="D14" s="26">
        <v>0</v>
      </c>
      <c r="E14" s="26">
        <v>500</v>
      </c>
    </row>
    <row r="15" spans="2:5" x14ac:dyDescent="0.2">
      <c r="B15" s="180" t="s">
        <v>1099</v>
      </c>
      <c r="C15" s="26"/>
      <c r="D15" s="26">
        <v>49460</v>
      </c>
      <c r="E15" s="26">
        <v>100000</v>
      </c>
    </row>
    <row r="16" spans="2:5" x14ac:dyDescent="0.2">
      <c r="B16" s="175" t="s">
        <v>26</v>
      </c>
      <c r="C16" s="26"/>
      <c r="D16" s="26"/>
      <c r="E16" s="26"/>
    </row>
    <row r="17" spans="2:5" x14ac:dyDescent="0.2">
      <c r="B17" s="103" t="s">
        <v>192</v>
      </c>
      <c r="C17" s="26"/>
      <c r="D17" s="169">
        <v>500</v>
      </c>
      <c r="E17" s="169">
        <v>500</v>
      </c>
    </row>
    <row r="18" spans="2:5" x14ac:dyDescent="0.2">
      <c r="B18" s="167" t="s">
        <v>654</v>
      </c>
      <c r="C18" s="299" t="str">
        <f>IF(C19*0.1&lt;C17,"Exceed 10% Rule","")</f>
        <v/>
      </c>
      <c r="D18" s="194" t="str">
        <f>IF(D19*0.1&lt;D17,"Exceed 10% Rule","")</f>
        <v/>
      </c>
      <c r="E18" s="194" t="str">
        <f>IF(E19*0.1&lt;E17,"Exceed 10% Rule","")</f>
        <v/>
      </c>
    </row>
    <row r="19" spans="2:5" x14ac:dyDescent="0.2">
      <c r="B19" s="177" t="s">
        <v>27</v>
      </c>
      <c r="C19" s="198">
        <f>SUM(C8:C17)</f>
        <v>215551</v>
      </c>
      <c r="D19" s="198">
        <f>SUM(D8:D17)</f>
        <v>281660</v>
      </c>
      <c r="E19" s="198">
        <f>SUM(E8:E17)</f>
        <v>543500</v>
      </c>
    </row>
    <row r="20" spans="2:5" x14ac:dyDescent="0.2">
      <c r="B20" s="177" t="s">
        <v>28</v>
      </c>
      <c r="C20" s="198">
        <f>C6+C19</f>
        <v>373836</v>
      </c>
      <c r="D20" s="198">
        <f>D6+D19</f>
        <v>423057</v>
      </c>
      <c r="E20" s="198">
        <f>E6+E19</f>
        <v>684897</v>
      </c>
    </row>
    <row r="21" spans="2:5" x14ac:dyDescent="0.2">
      <c r="B21" s="95" t="s">
        <v>30</v>
      </c>
      <c r="C21" s="139"/>
      <c r="D21" s="139"/>
      <c r="E21" s="139"/>
    </row>
    <row r="22" spans="2:5" x14ac:dyDescent="0.25">
      <c r="B22" s="189" t="s">
        <v>38</v>
      </c>
      <c r="C22" s="26">
        <v>54764</v>
      </c>
      <c r="D22" s="806">
        <v>79938</v>
      </c>
      <c r="E22" s="26">
        <v>81639</v>
      </c>
    </row>
    <row r="23" spans="2:5" x14ac:dyDescent="0.25">
      <c r="B23" s="189" t="s">
        <v>31</v>
      </c>
      <c r="C23" s="26">
        <v>7837</v>
      </c>
      <c r="D23" s="806">
        <v>35175</v>
      </c>
      <c r="E23" s="26">
        <v>43000</v>
      </c>
    </row>
    <row r="24" spans="2:5" x14ac:dyDescent="0.25">
      <c r="B24" s="189" t="s">
        <v>32</v>
      </c>
      <c r="C24" s="26">
        <v>82980</v>
      </c>
      <c r="D24" s="806">
        <v>94985</v>
      </c>
      <c r="E24" s="26">
        <v>161660</v>
      </c>
    </row>
    <row r="25" spans="2:5" x14ac:dyDescent="0.25">
      <c r="B25" s="189" t="s">
        <v>33</v>
      </c>
      <c r="C25" s="26">
        <v>86858</v>
      </c>
      <c r="D25" s="806">
        <v>71562</v>
      </c>
      <c r="E25" s="26">
        <v>167201</v>
      </c>
    </row>
    <row r="26" spans="2:5" x14ac:dyDescent="0.25">
      <c r="B26" s="807" t="s">
        <v>1121</v>
      </c>
      <c r="C26" s="26">
        <v>0</v>
      </c>
      <c r="D26" s="806">
        <v>0</v>
      </c>
      <c r="E26" s="26">
        <v>15000</v>
      </c>
    </row>
    <row r="27" spans="2:5" x14ac:dyDescent="0.25">
      <c r="B27" s="807" t="s">
        <v>1122</v>
      </c>
      <c r="C27" s="26">
        <v>0</v>
      </c>
      <c r="D27" s="806">
        <v>0</v>
      </c>
      <c r="E27" s="26">
        <v>25000</v>
      </c>
    </row>
    <row r="28" spans="2:5" x14ac:dyDescent="0.25">
      <c r="B28" s="807" t="s">
        <v>1123</v>
      </c>
      <c r="C28" s="26">
        <v>0</v>
      </c>
      <c r="D28" s="806">
        <v>0</v>
      </c>
      <c r="E28" s="26">
        <v>50000</v>
      </c>
    </row>
    <row r="29" spans="2:5" x14ac:dyDescent="0.2">
      <c r="B29" s="181" t="str">
        <f>CONCATENATE("Cash Forward (",E1," column)")</f>
        <v>Cash Forward (2023 column)</v>
      </c>
      <c r="C29" s="26"/>
      <c r="D29" s="26"/>
      <c r="E29" s="26"/>
    </row>
    <row r="30" spans="2:5" x14ac:dyDescent="0.2">
      <c r="B30" s="181" t="s">
        <v>192</v>
      </c>
      <c r="C30" s="26"/>
      <c r="D30" s="169"/>
      <c r="E30" s="169"/>
    </row>
    <row r="31" spans="2:5" x14ac:dyDescent="0.2">
      <c r="B31" s="181" t="s">
        <v>655</v>
      </c>
      <c r="C31" s="299" t="str">
        <f>IF(C32*0.1&lt;C30,"Exceed 10% Rule","")</f>
        <v/>
      </c>
      <c r="D31" s="194" t="str">
        <f>IF(D32*0.1&lt;D30,"Exceed 10% Rule","")</f>
        <v/>
      </c>
      <c r="E31" s="194" t="str">
        <f>IF(E32*0.1&lt;E30,"Exceed 10% Rule","")</f>
        <v/>
      </c>
    </row>
    <row r="32" spans="2:5" x14ac:dyDescent="0.2">
      <c r="B32" s="177" t="s">
        <v>34</v>
      </c>
      <c r="C32" s="198">
        <f>SUM(C22:C30)</f>
        <v>232439</v>
      </c>
      <c r="D32" s="198">
        <f>SUM(D22:D30)</f>
        <v>281660</v>
      </c>
      <c r="E32" s="198">
        <f>SUM(E22:E30)</f>
        <v>543500</v>
      </c>
    </row>
    <row r="33" spans="2:5" x14ac:dyDescent="0.2">
      <c r="B33" s="95" t="s">
        <v>100</v>
      </c>
      <c r="C33" s="139">
        <f>C20-C32</f>
        <v>141397</v>
      </c>
      <c r="D33" s="139">
        <f>D20-D32</f>
        <v>141397</v>
      </c>
      <c r="E33" s="139">
        <f>E20-E32</f>
        <v>141397</v>
      </c>
    </row>
    <row r="34" spans="2:5" x14ac:dyDescent="0.2">
      <c r="B34" s="110" t="str">
        <f>CONCATENATE("",E1-2,"/",E1-1,"/",E1," Budget Authority Amount:")</f>
        <v>2021/2022/2023 Budget Authority Amount:</v>
      </c>
      <c r="C34" s="428">
        <f>inputOth!B81</f>
        <v>288550</v>
      </c>
      <c r="D34" s="428">
        <f>inputPrYr!D38</f>
        <v>281660</v>
      </c>
      <c r="E34" s="139">
        <f>E32</f>
        <v>543500</v>
      </c>
    </row>
    <row r="35" spans="2:5" x14ac:dyDescent="0.2">
      <c r="B35" s="83"/>
      <c r="C35" s="184" t="str">
        <f>IF(C32&gt;C34,"See Tab A","")</f>
        <v/>
      </c>
      <c r="D35" s="184" t="str">
        <f>IF(D32&gt;D34,"See Tab C","")</f>
        <v/>
      </c>
      <c r="E35" s="594" t="str">
        <f>IF(E33&lt;0,"See Tab E","")</f>
        <v/>
      </c>
    </row>
    <row r="36" spans="2:5" x14ac:dyDescent="0.2">
      <c r="B36" s="83"/>
      <c r="C36" s="184" t="str">
        <f>IF(C33&lt;0,"See Tab B","")</f>
        <v/>
      </c>
      <c r="D36" s="184" t="str">
        <f>IF(D33&lt;0,"See Tab D","")</f>
        <v/>
      </c>
      <c r="E36" s="27"/>
    </row>
    <row r="37" spans="2:5" x14ac:dyDescent="0.2">
      <c r="B37" s="6"/>
      <c r="C37" s="27"/>
      <c r="D37" s="27"/>
      <c r="E37" s="27"/>
    </row>
    <row r="38" spans="2:5" x14ac:dyDescent="0.2">
      <c r="B38" s="9" t="s">
        <v>20</v>
      </c>
      <c r="C38" s="203"/>
      <c r="D38" s="203"/>
      <c r="E38" s="203"/>
    </row>
    <row r="39" spans="2:5" x14ac:dyDescent="0.2">
      <c r="B39" s="6"/>
      <c r="C39" s="187" t="str">
        <f t="shared" ref="C39:E40" si="0">C4</f>
        <v xml:space="preserve">Prior Year </v>
      </c>
      <c r="D39" s="89" t="str">
        <f t="shared" si="0"/>
        <v>Current Year</v>
      </c>
      <c r="E39" s="89" t="str">
        <f t="shared" si="0"/>
        <v>Proposed Budget</v>
      </c>
    </row>
    <row r="40" spans="2:5" x14ac:dyDescent="0.2">
      <c r="B40" s="297" t="str">
        <f>(inputPrYr!B39)</f>
        <v>Sewer Utility</v>
      </c>
      <c r="C40" s="166" t="str">
        <f t="shared" si="0"/>
        <v>Actual for 2021</v>
      </c>
      <c r="D40" s="166" t="str">
        <f t="shared" si="0"/>
        <v>Estimate for 2022</v>
      </c>
      <c r="E40" s="166" t="str">
        <f t="shared" si="0"/>
        <v>Year for 2023</v>
      </c>
    </row>
    <row r="41" spans="2:5" x14ac:dyDescent="0.2">
      <c r="B41" s="167" t="s">
        <v>99</v>
      </c>
      <c r="C41" s="26">
        <v>294862</v>
      </c>
      <c r="D41" s="139">
        <f>C70</f>
        <v>269720</v>
      </c>
      <c r="E41" s="139">
        <f>D70</f>
        <v>269720</v>
      </c>
    </row>
    <row r="42" spans="2:5" x14ac:dyDescent="0.2">
      <c r="B42" s="167" t="s">
        <v>101</v>
      </c>
      <c r="C42" s="41"/>
      <c r="D42" s="41"/>
      <c r="E42" s="41"/>
    </row>
    <row r="43" spans="2:5" x14ac:dyDescent="0.2">
      <c r="B43" s="180" t="s">
        <v>1079</v>
      </c>
      <c r="C43" s="26"/>
      <c r="D43" s="26">
        <v>0</v>
      </c>
      <c r="E43" s="26">
        <v>0</v>
      </c>
    </row>
    <row r="44" spans="2:5" x14ac:dyDescent="0.2">
      <c r="B44" s="180" t="s">
        <v>1116</v>
      </c>
      <c r="C44" s="26"/>
      <c r="D44" s="26">
        <v>0</v>
      </c>
      <c r="E44" s="26">
        <v>0</v>
      </c>
    </row>
    <row r="45" spans="2:5" x14ac:dyDescent="0.2">
      <c r="B45" s="180" t="s">
        <v>1117</v>
      </c>
      <c r="C45" s="26"/>
      <c r="D45" s="26">
        <v>0</v>
      </c>
      <c r="E45" s="26">
        <v>2000</v>
      </c>
    </row>
    <row r="46" spans="2:5" x14ac:dyDescent="0.2">
      <c r="B46" s="180" t="s">
        <v>1118</v>
      </c>
      <c r="C46" s="26">
        <v>141200</v>
      </c>
      <c r="D46" s="26">
        <v>145000</v>
      </c>
      <c r="E46" s="26">
        <v>365000</v>
      </c>
    </row>
    <row r="47" spans="2:5" x14ac:dyDescent="0.2">
      <c r="B47" s="180" t="s">
        <v>1119</v>
      </c>
      <c r="C47" s="26"/>
      <c r="D47" s="26">
        <v>0</v>
      </c>
      <c r="E47" s="26">
        <v>3000</v>
      </c>
    </row>
    <row r="48" spans="2:5" x14ac:dyDescent="0.2">
      <c r="B48" s="180" t="s">
        <v>1120</v>
      </c>
      <c r="C48" s="26"/>
      <c r="D48" s="26">
        <v>0</v>
      </c>
      <c r="E48" s="26">
        <v>0</v>
      </c>
    </row>
    <row r="49" spans="2:5" x14ac:dyDescent="0.2">
      <c r="B49" s="180" t="s">
        <v>1096</v>
      </c>
      <c r="C49" s="26">
        <v>40271</v>
      </c>
      <c r="D49" s="26">
        <v>0</v>
      </c>
      <c r="E49" s="26">
        <v>500</v>
      </c>
    </row>
    <row r="50" spans="2:5" x14ac:dyDescent="0.2">
      <c r="B50" s="180" t="s">
        <v>1078</v>
      </c>
      <c r="C50" s="26"/>
      <c r="D50" s="26"/>
      <c r="E50" s="26">
        <v>3200000</v>
      </c>
    </row>
    <row r="51" spans="2:5" x14ac:dyDescent="0.2">
      <c r="B51" s="180" t="s">
        <v>1099</v>
      </c>
      <c r="C51" s="26"/>
      <c r="D51" s="26">
        <v>142800</v>
      </c>
      <c r="E51" s="26">
        <v>250000</v>
      </c>
    </row>
    <row r="52" spans="2:5" x14ac:dyDescent="0.2">
      <c r="B52" s="103" t="s">
        <v>192</v>
      </c>
      <c r="C52" s="26"/>
      <c r="D52" s="26"/>
      <c r="E52" s="26"/>
    </row>
    <row r="53" spans="2:5" x14ac:dyDescent="0.2">
      <c r="B53" s="167" t="s">
        <v>654</v>
      </c>
      <c r="C53" s="299" t="str">
        <f>IF(C54*0.1&lt;C52,"Exceed 10% Rule","")</f>
        <v/>
      </c>
      <c r="D53" s="194" t="str">
        <f>IF(D54*0.1&lt;D52,"Exceed 10% Rule","")</f>
        <v/>
      </c>
      <c r="E53" s="194" t="str">
        <f>IF(E54*0.1&lt;E52,"Exceed 10% Rule","")</f>
        <v/>
      </c>
    </row>
    <row r="54" spans="2:5" x14ac:dyDescent="0.2">
      <c r="B54" s="177" t="s">
        <v>27</v>
      </c>
      <c r="C54" s="198">
        <f>SUM(C43:C52)</f>
        <v>181471</v>
      </c>
      <c r="D54" s="198">
        <f>SUM(D43:D52)</f>
        <v>287800</v>
      </c>
      <c r="E54" s="198">
        <f>SUM(E43:E52)</f>
        <v>3820500</v>
      </c>
    </row>
    <row r="55" spans="2:5" x14ac:dyDescent="0.2">
      <c r="B55" s="177" t="s">
        <v>28</v>
      </c>
      <c r="C55" s="198">
        <f>C41+C54</f>
        <v>476333</v>
      </c>
      <c r="D55" s="198">
        <f>D41+D54</f>
        <v>557520</v>
      </c>
      <c r="E55" s="198">
        <f>E41+E54</f>
        <v>4090220</v>
      </c>
    </row>
    <row r="56" spans="2:5" x14ac:dyDescent="0.2">
      <c r="B56" s="95" t="s">
        <v>30</v>
      </c>
      <c r="C56" s="139"/>
      <c r="D56" s="139"/>
      <c r="E56" s="139"/>
    </row>
    <row r="57" spans="2:5" x14ac:dyDescent="0.2">
      <c r="B57" s="189" t="s">
        <v>38</v>
      </c>
      <c r="C57" s="26">
        <v>46210</v>
      </c>
      <c r="D57" s="26">
        <v>69938</v>
      </c>
      <c r="E57" s="26">
        <v>81639</v>
      </c>
    </row>
    <row r="58" spans="2:5" x14ac:dyDescent="0.25">
      <c r="B58" s="189" t="s">
        <v>31</v>
      </c>
      <c r="C58" s="26">
        <v>16294</v>
      </c>
      <c r="D58" s="808">
        <v>169000</v>
      </c>
      <c r="E58" s="26">
        <v>27500</v>
      </c>
    </row>
    <row r="59" spans="2:5" x14ac:dyDescent="0.25">
      <c r="B59" s="189" t="s">
        <v>32</v>
      </c>
      <c r="C59" s="26">
        <v>144109</v>
      </c>
      <c r="D59" s="808">
        <v>4800</v>
      </c>
      <c r="E59" s="26">
        <v>76000</v>
      </c>
    </row>
    <row r="60" spans="2:5" x14ac:dyDescent="0.25">
      <c r="B60" s="189" t="s">
        <v>33</v>
      </c>
      <c r="C60" s="26"/>
      <c r="D60" s="808">
        <v>44062</v>
      </c>
      <c r="E60" s="26">
        <v>315861</v>
      </c>
    </row>
    <row r="61" spans="2:5" x14ac:dyDescent="0.25">
      <c r="B61" s="175" t="s">
        <v>1078</v>
      </c>
      <c r="C61" s="26"/>
      <c r="D61" s="808"/>
      <c r="E61" s="26">
        <v>3200000</v>
      </c>
    </row>
    <row r="62" spans="2:5" x14ac:dyDescent="0.25">
      <c r="B62" s="807" t="s">
        <v>1121</v>
      </c>
      <c r="C62" s="26"/>
      <c r="D62" s="26">
        <v>0</v>
      </c>
      <c r="E62" s="26">
        <v>15000</v>
      </c>
    </row>
    <row r="63" spans="2:5" x14ac:dyDescent="0.25">
      <c r="B63" s="807" t="s">
        <v>1122</v>
      </c>
      <c r="C63" s="26"/>
      <c r="D63" s="26">
        <v>0</v>
      </c>
      <c r="E63" s="26">
        <v>25000</v>
      </c>
    </row>
    <row r="64" spans="2:5" x14ac:dyDescent="0.25">
      <c r="B64" s="807" t="s">
        <v>1123</v>
      </c>
      <c r="C64" s="26"/>
      <c r="D64" s="26">
        <v>0</v>
      </c>
      <c r="E64" s="26">
        <v>50000</v>
      </c>
    </row>
    <row r="65" spans="2:5" x14ac:dyDescent="0.25">
      <c r="B65" s="807" t="s">
        <v>1124</v>
      </c>
      <c r="C65" s="26"/>
      <c r="D65" s="26">
        <v>0</v>
      </c>
      <c r="E65" s="26">
        <v>30000</v>
      </c>
    </row>
    <row r="66" spans="2:5" x14ac:dyDescent="0.2">
      <c r="B66" s="181" t="str">
        <f>CONCATENATE("Cash Forward (",E1," column)")</f>
        <v>Cash Forward (2023 column)</v>
      </c>
      <c r="C66" s="26"/>
      <c r="D66" s="26"/>
      <c r="E66" s="26"/>
    </row>
    <row r="67" spans="2:5" x14ac:dyDescent="0.2">
      <c r="B67" s="181" t="s">
        <v>192</v>
      </c>
      <c r="C67" s="26"/>
      <c r="D67" s="169"/>
      <c r="E67" s="169"/>
    </row>
    <row r="68" spans="2:5" x14ac:dyDescent="0.2">
      <c r="B68" s="181" t="s">
        <v>655</v>
      </c>
      <c r="C68" s="299" t="str">
        <f>IF(C69*0.1&lt;C67,"Exceed 10% Rule","")</f>
        <v/>
      </c>
      <c r="D68" s="194" t="str">
        <f>IF(D69*0.1&lt;D67,"Exceed 10% Rule","")</f>
        <v/>
      </c>
      <c r="E68" s="194" t="str">
        <f>IF(E69*0.1&lt;E67,"Exceed 10% Rule","")</f>
        <v/>
      </c>
    </row>
    <row r="69" spans="2:5" x14ac:dyDescent="0.2">
      <c r="B69" s="177" t="s">
        <v>34</v>
      </c>
      <c r="C69" s="198">
        <f>SUM(C57:C67)</f>
        <v>206613</v>
      </c>
      <c r="D69" s="198">
        <f>SUM(D57:D67)</f>
        <v>287800</v>
      </c>
      <c r="E69" s="198">
        <f>SUM(E57:E67)</f>
        <v>3821000</v>
      </c>
    </row>
    <row r="70" spans="2:5" x14ac:dyDescent="0.2">
      <c r="B70" s="95" t="s">
        <v>100</v>
      </c>
      <c r="C70" s="139">
        <f>C55-C69</f>
        <v>269720</v>
      </c>
      <c r="D70" s="139">
        <f>D55-D69</f>
        <v>269720</v>
      </c>
      <c r="E70" s="139">
        <f>E55-E69</f>
        <v>269220</v>
      </c>
    </row>
    <row r="71" spans="2:5" x14ac:dyDescent="0.2">
      <c r="B71" s="110" t="str">
        <f>CONCATENATE("",E1-2,"/",E1-1,"/",E1," Budget Authority Amount:")</f>
        <v>2021/2022/2023 Budget Authority Amount:</v>
      </c>
      <c r="C71" s="428">
        <f>inputOth!B82</f>
        <v>166000</v>
      </c>
      <c r="D71" s="428">
        <f>inputPrYr!D39</f>
        <v>287800</v>
      </c>
      <c r="E71" s="336">
        <f>E69</f>
        <v>3821000</v>
      </c>
    </row>
    <row r="72" spans="2:5" x14ac:dyDescent="0.2">
      <c r="B72" s="83"/>
      <c r="C72" s="184" t="str">
        <f>IF(C69&gt;C71,"See Tab A","")</f>
        <v>See Tab A</v>
      </c>
      <c r="D72" s="184" t="str">
        <f>IF(D69&gt;D71,"See Tab C","")</f>
        <v/>
      </c>
      <c r="E72" s="594" t="str">
        <f>IF(E70&lt;0,"See Tab E","")</f>
        <v/>
      </c>
    </row>
    <row r="73" spans="2:5" x14ac:dyDescent="0.2">
      <c r="B73" s="728" t="s">
        <v>839</v>
      </c>
      <c r="C73" s="701" t="str">
        <f>IF(C70&lt;0,"See Tab B","")</f>
        <v/>
      </c>
      <c r="D73" s="701" t="str">
        <f>IF(D70&lt;0,"See Tab D","")</f>
        <v/>
      </c>
      <c r="E73" s="694"/>
    </row>
    <row r="74" spans="2:5" x14ac:dyDescent="0.2">
      <c r="B74" s="703"/>
      <c r="C74" s="704"/>
      <c r="D74" s="704"/>
      <c r="E74" s="546"/>
    </row>
    <row r="75" spans="2:5" x14ac:dyDescent="0.2">
      <c r="B75" s="705"/>
      <c r="C75" s="706"/>
      <c r="D75" s="706"/>
      <c r="E75" s="45"/>
    </row>
    <row r="76" spans="2:5" x14ac:dyDescent="0.2">
      <c r="B76" s="6"/>
      <c r="C76" s="6"/>
      <c r="D76" s="6"/>
      <c r="E76" s="6"/>
    </row>
    <row r="77" spans="2:5" x14ac:dyDescent="0.2">
      <c r="B77" s="83" t="s">
        <v>37</v>
      </c>
      <c r="C77" s="600">
        <v>14</v>
      </c>
      <c r="D77" s="6"/>
      <c r="E77" s="6"/>
    </row>
  </sheetData>
  <phoneticPr fontId="0" type="noConversion"/>
  <conditionalFormatting sqref="C17">
    <cfRule type="cellIs" dxfId="108" priority="5" stopIfTrue="1" operator="greaterThan">
      <formula>$C$19*0.1</formula>
    </cfRule>
  </conditionalFormatting>
  <conditionalFormatting sqref="D17">
    <cfRule type="cellIs" dxfId="107" priority="6" stopIfTrue="1" operator="greaterThan">
      <formula>$D$19*0.1</formula>
    </cfRule>
  </conditionalFormatting>
  <conditionalFormatting sqref="E17">
    <cfRule type="cellIs" dxfId="106" priority="7" stopIfTrue="1" operator="greaterThan">
      <formula>$E$19*0.1</formula>
    </cfRule>
  </conditionalFormatting>
  <conditionalFormatting sqref="C30">
    <cfRule type="cellIs" dxfId="105" priority="8" stopIfTrue="1" operator="greaterThan">
      <formula>$C$32*0.1</formula>
    </cfRule>
  </conditionalFormatting>
  <conditionalFormatting sqref="D30">
    <cfRule type="cellIs" dxfId="104" priority="9" stopIfTrue="1" operator="greaterThan">
      <formula>$D$32*0.1</formula>
    </cfRule>
  </conditionalFormatting>
  <conditionalFormatting sqref="E30">
    <cfRule type="cellIs" dxfId="103" priority="10" stopIfTrue="1" operator="greaterThan">
      <formula>$E$32*0.1</formula>
    </cfRule>
  </conditionalFormatting>
  <conditionalFormatting sqref="C52">
    <cfRule type="cellIs" dxfId="102" priority="11" stopIfTrue="1" operator="greaterThan">
      <formula>$C$54*0.1</formula>
    </cfRule>
  </conditionalFormatting>
  <conditionalFormatting sqref="D52">
    <cfRule type="cellIs" dxfId="101" priority="12" stopIfTrue="1" operator="greaterThan">
      <formula>$D$54*0.1</formula>
    </cfRule>
  </conditionalFormatting>
  <conditionalFormatting sqref="E52">
    <cfRule type="cellIs" dxfId="100" priority="13" stopIfTrue="1" operator="greaterThan">
      <formula>$E$54*0.1</formula>
    </cfRule>
  </conditionalFormatting>
  <conditionalFormatting sqref="C67">
    <cfRule type="cellIs" dxfId="99" priority="14" stopIfTrue="1" operator="greaterThan">
      <formula>$C$69*0.1</formula>
    </cfRule>
  </conditionalFormatting>
  <conditionalFormatting sqref="D67">
    <cfRule type="cellIs" dxfId="98" priority="15" stopIfTrue="1" operator="greaterThan">
      <formula>$D$69*0.1</formula>
    </cfRule>
  </conditionalFormatting>
  <conditionalFormatting sqref="E67">
    <cfRule type="cellIs" dxfId="97" priority="16" stopIfTrue="1" operator="greaterThan">
      <formula>$E$69*0.1</formula>
    </cfRule>
  </conditionalFormatting>
  <conditionalFormatting sqref="E70 C70 E33 C33">
    <cfRule type="cellIs" dxfId="96" priority="17" stopIfTrue="1" operator="lessThan">
      <formula>0</formula>
    </cfRule>
  </conditionalFormatting>
  <conditionalFormatting sqref="D69">
    <cfRule type="cellIs" dxfId="95" priority="18" stopIfTrue="1" operator="greaterThan">
      <formula>$D$71</formula>
    </cfRule>
  </conditionalFormatting>
  <conditionalFormatting sqref="C69">
    <cfRule type="cellIs" dxfId="94" priority="19" stopIfTrue="1" operator="greaterThan">
      <formula>$C$71</formula>
    </cfRule>
  </conditionalFormatting>
  <conditionalFormatting sqref="D32">
    <cfRule type="cellIs" dxfId="93" priority="20" stopIfTrue="1" operator="greaterThan">
      <formula>$D$34</formula>
    </cfRule>
  </conditionalFormatting>
  <conditionalFormatting sqref="C32">
    <cfRule type="cellIs" dxfId="92" priority="21" stopIfTrue="1" operator="greaterThan">
      <formula>$C$34</formula>
    </cfRule>
  </conditionalFormatting>
  <conditionalFormatting sqref="D70">
    <cfRule type="cellIs" dxfId="91" priority="4" stopIfTrue="1" operator="lessThan">
      <formula>0</formula>
    </cfRule>
  </conditionalFormatting>
  <conditionalFormatting sqref="D33">
    <cfRule type="cellIs" dxfId="90" priority="3" stopIfTrue="1" operator="lessThan">
      <formula>0</formula>
    </cfRule>
  </conditionalFormatting>
  <conditionalFormatting sqref="E34">
    <cfRule type="cellIs" dxfId="89" priority="2" stopIfTrue="1" operator="lessThan">
      <formula>0</formula>
    </cfRule>
  </conditionalFormatting>
  <conditionalFormatting sqref="E71">
    <cfRule type="cellIs" dxfId="88" priority="1" stopIfTrue="1" operator="lessThan">
      <formula>0</formula>
    </cfRule>
  </conditionalFormatting>
  <pageMargins left="0.5" right="0.5" top="1" bottom="0.5" header="0.5" footer="0.5"/>
  <pageSetup scale="68" orientation="portrait" blackAndWhite="1" horizontalDpi="120" verticalDpi="144" r:id="rId1"/>
  <headerFooter alignWithMargins="0">
    <oddHeader xml:space="preserve">&amp;RState of Kansas
City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tabColor rgb="FF00B0F0"/>
    <pageSetUpPr fitToPage="1"/>
  </sheetPr>
  <dimension ref="B1:E65"/>
  <sheetViews>
    <sheetView topLeftCell="A40" workbookViewId="0">
      <selection activeCell="M71" sqref="M71"/>
    </sheetView>
  </sheetViews>
  <sheetFormatPr defaultRowHeight="15.75" x14ac:dyDescent="0.2"/>
  <cols>
    <col min="1" max="1" width="2.44140625" style="7" customWidth="1"/>
    <col min="2" max="2" width="31.109375" style="7" customWidth="1"/>
    <col min="3" max="4" width="15.77734375" style="7" customWidth="1"/>
    <col min="5" max="5" width="16.33203125" style="7" customWidth="1"/>
    <col min="6" max="16384" width="8.88671875" style="7"/>
  </cols>
  <sheetData>
    <row r="1" spans="2:5" x14ac:dyDescent="0.2">
      <c r="B1" s="112" t="str">
        <f>(inputPrYr!D3)</f>
        <v>Valley Falls</v>
      </c>
      <c r="C1" s="6"/>
      <c r="D1" s="6"/>
      <c r="E1" s="158">
        <f>inputPrYr!C6</f>
        <v>2023</v>
      </c>
    </row>
    <row r="2" spans="2:5" x14ac:dyDescent="0.2">
      <c r="B2" s="6"/>
      <c r="C2" s="6"/>
      <c r="D2" s="6"/>
      <c r="E2" s="108"/>
    </row>
    <row r="3" spans="2:5" x14ac:dyDescent="0.2">
      <c r="B3" s="17" t="s">
        <v>85</v>
      </c>
      <c r="C3" s="197"/>
      <c r="D3" s="197"/>
      <c r="E3" s="197"/>
    </row>
    <row r="4" spans="2:5" x14ac:dyDescent="0.2">
      <c r="B4" s="9" t="s">
        <v>20</v>
      </c>
      <c r="C4" s="539" t="s">
        <v>665</v>
      </c>
      <c r="D4" s="540" t="s">
        <v>666</v>
      </c>
      <c r="E4" s="89" t="s">
        <v>667</v>
      </c>
    </row>
    <row r="5" spans="2:5" x14ac:dyDescent="0.2">
      <c r="B5" s="298" t="str">
        <f>(inputPrYr!B40)</f>
        <v xml:space="preserve">Solid Waste Utility </v>
      </c>
      <c r="C5" s="283" t="str">
        <f>CONCATENATE("Actual for ",E1-2,"")</f>
        <v>Actual for 2021</v>
      </c>
      <c r="D5" s="283" t="str">
        <f>CONCATENATE("Estimate for ",E1-1,"")</f>
        <v>Estimate for 2022</v>
      </c>
      <c r="E5" s="166" t="str">
        <f>CONCATENATE("Year for ",E1,"")</f>
        <v>Year for 2023</v>
      </c>
    </row>
    <row r="6" spans="2:5" x14ac:dyDescent="0.2">
      <c r="B6" s="167" t="s">
        <v>99</v>
      </c>
      <c r="C6" s="26">
        <v>46043</v>
      </c>
      <c r="D6" s="139">
        <f>C27</f>
        <v>51793</v>
      </c>
      <c r="E6" s="139">
        <f>D27</f>
        <v>51793</v>
      </c>
    </row>
    <row r="7" spans="2:5" x14ac:dyDescent="0.2">
      <c r="B7" s="170" t="s">
        <v>101</v>
      </c>
      <c r="C7" s="41"/>
      <c r="D7" s="41"/>
      <c r="E7" s="41"/>
    </row>
    <row r="8" spans="2:5" x14ac:dyDescent="0.2">
      <c r="B8" s="180" t="s">
        <v>1118</v>
      </c>
      <c r="C8" s="174">
        <v>122391</v>
      </c>
      <c r="D8" s="174">
        <v>115000</v>
      </c>
      <c r="E8" s="174">
        <v>145000</v>
      </c>
    </row>
    <row r="9" spans="2:5" x14ac:dyDescent="0.2">
      <c r="B9" s="180" t="s">
        <v>1125</v>
      </c>
      <c r="C9" s="174"/>
      <c r="D9" s="174">
        <v>0</v>
      </c>
      <c r="E9" s="174">
        <v>50000</v>
      </c>
    </row>
    <row r="10" spans="2:5" x14ac:dyDescent="0.2">
      <c r="B10" s="201" t="s">
        <v>1119</v>
      </c>
      <c r="C10" s="59"/>
      <c r="D10" s="59">
        <v>0</v>
      </c>
      <c r="E10" s="59">
        <v>2000</v>
      </c>
    </row>
    <row r="11" spans="2:5" x14ac:dyDescent="0.2">
      <c r="B11" s="180" t="s">
        <v>1126</v>
      </c>
      <c r="C11" s="174"/>
      <c r="D11" s="174">
        <v>0</v>
      </c>
      <c r="E11" s="174">
        <v>500</v>
      </c>
    </row>
    <row r="12" spans="2:5" x14ac:dyDescent="0.2">
      <c r="B12" s="206" t="s">
        <v>1108</v>
      </c>
      <c r="C12" s="174"/>
      <c r="D12" s="174">
        <v>0</v>
      </c>
      <c r="E12" s="174">
        <v>60000</v>
      </c>
    </row>
    <row r="13" spans="2:5" x14ac:dyDescent="0.2">
      <c r="B13" s="103" t="s">
        <v>192</v>
      </c>
      <c r="C13" s="26"/>
      <c r="D13" s="174">
        <v>0</v>
      </c>
      <c r="E13" s="169">
        <v>500</v>
      </c>
    </row>
    <row r="14" spans="2:5" x14ac:dyDescent="0.2">
      <c r="B14" s="167" t="s">
        <v>654</v>
      </c>
      <c r="C14" s="299" t="str">
        <f>IF(C15*0.1&lt;C13,"Exceed 10% Rule","")</f>
        <v/>
      </c>
      <c r="D14" s="194" t="str">
        <f>IF(D15*0.1&lt;D13,"Exceed 10% Rule","")</f>
        <v/>
      </c>
      <c r="E14" s="194" t="str">
        <f>IF(E15*0.1&lt;E13,"Exceed 10% Rule","")</f>
        <v/>
      </c>
    </row>
    <row r="15" spans="2:5" x14ac:dyDescent="0.2">
      <c r="B15" s="177" t="s">
        <v>27</v>
      </c>
      <c r="C15" s="198">
        <f>SUM(C8:C13)</f>
        <v>122391</v>
      </c>
      <c r="D15" s="198">
        <f>SUM(D8:D13)</f>
        <v>115000</v>
      </c>
      <c r="E15" s="198">
        <f>SUM(E8:E13)</f>
        <v>258000</v>
      </c>
    </row>
    <row r="16" spans="2:5" x14ac:dyDescent="0.2">
      <c r="B16" s="177" t="s">
        <v>28</v>
      </c>
      <c r="C16" s="198">
        <f>C6+C15</f>
        <v>168434</v>
      </c>
      <c r="D16" s="198">
        <f>D6+D15</f>
        <v>166793</v>
      </c>
      <c r="E16" s="198">
        <f>E6+E15</f>
        <v>309793</v>
      </c>
    </row>
    <row r="17" spans="2:5" x14ac:dyDescent="0.2">
      <c r="B17" s="95" t="s">
        <v>30</v>
      </c>
      <c r="C17" s="139"/>
      <c r="D17" s="139"/>
      <c r="E17" s="139"/>
    </row>
    <row r="18" spans="2:5" x14ac:dyDescent="0.2">
      <c r="B18" s="189" t="s">
        <v>38</v>
      </c>
      <c r="C18" s="174"/>
      <c r="D18" s="174">
        <v>0</v>
      </c>
      <c r="E18" s="174">
        <v>0</v>
      </c>
    </row>
    <row r="19" spans="2:5" x14ac:dyDescent="0.2">
      <c r="B19" s="189" t="s">
        <v>31</v>
      </c>
      <c r="C19" s="174">
        <v>116641</v>
      </c>
      <c r="D19" s="174">
        <v>115000</v>
      </c>
      <c r="E19" s="174">
        <v>180000</v>
      </c>
    </row>
    <row r="20" spans="2:5" x14ac:dyDescent="0.2">
      <c r="B20" s="189" t="s">
        <v>32</v>
      </c>
      <c r="C20" s="59"/>
      <c r="D20" s="59">
        <v>0</v>
      </c>
      <c r="E20" s="59">
        <v>500</v>
      </c>
    </row>
    <row r="21" spans="2:5" x14ac:dyDescent="0.2">
      <c r="B21" s="189" t="s">
        <v>33</v>
      </c>
      <c r="C21" s="174"/>
      <c r="D21" s="174">
        <v>0</v>
      </c>
      <c r="E21" s="174">
        <v>77500</v>
      </c>
    </row>
    <row r="22" spans="2:5" x14ac:dyDescent="0.2">
      <c r="B22" s="180"/>
      <c r="C22" s="26"/>
      <c r="D22" s="26"/>
      <c r="E22" s="26"/>
    </row>
    <row r="23" spans="2:5" x14ac:dyDescent="0.2">
      <c r="B23" s="181" t="str">
        <f>CONCATENATE("Cash Forward (",E1," column)")</f>
        <v>Cash Forward (2023 column)</v>
      </c>
      <c r="C23" s="26"/>
      <c r="D23" s="26"/>
      <c r="E23" s="26"/>
    </row>
    <row r="24" spans="2:5" x14ac:dyDescent="0.2">
      <c r="B24" s="181" t="s">
        <v>192</v>
      </c>
      <c r="C24" s="26"/>
      <c r="D24" s="169"/>
      <c r="E24" s="169"/>
    </row>
    <row r="25" spans="2:5" x14ac:dyDescent="0.2">
      <c r="B25" s="181" t="s">
        <v>655</v>
      </c>
      <c r="C25" s="299" t="str">
        <f>IF(C26*0.1&lt;C24,"Exceed 10% Rule","")</f>
        <v/>
      </c>
      <c r="D25" s="194" t="str">
        <f>IF(D26*0.1&lt;D24,"Exceed 10% Rule","")</f>
        <v/>
      </c>
      <c r="E25" s="194" t="str">
        <f>IF(E26*0.1&lt;E24,"Exceed 10% Rule","")</f>
        <v/>
      </c>
    </row>
    <row r="26" spans="2:5" x14ac:dyDescent="0.2">
      <c r="B26" s="177" t="s">
        <v>34</v>
      </c>
      <c r="C26" s="198">
        <f>SUM(C18:C24)</f>
        <v>116641</v>
      </c>
      <c r="D26" s="198">
        <f>SUM(D18:D24)</f>
        <v>115000</v>
      </c>
      <c r="E26" s="198">
        <f>SUM(E18:E24)</f>
        <v>258000</v>
      </c>
    </row>
    <row r="27" spans="2:5" x14ac:dyDescent="0.2">
      <c r="B27" s="95" t="s">
        <v>100</v>
      </c>
      <c r="C27" s="139">
        <f>C16-C26</f>
        <v>51793</v>
      </c>
      <c r="D27" s="139">
        <f>D16-D26</f>
        <v>51793</v>
      </c>
      <c r="E27" s="139">
        <f>E16-E26</f>
        <v>51793</v>
      </c>
    </row>
    <row r="28" spans="2:5" x14ac:dyDescent="0.2">
      <c r="B28" s="110" t="str">
        <f>CONCATENATE("",E1-2,"/",E1-1,"/",E1," Budget Authority Amount:")</f>
        <v>2021/2022/2023 Budget Authority Amount:</v>
      </c>
      <c r="C28" s="428">
        <f>inputOth!B83</f>
        <v>113000</v>
      </c>
      <c r="D28" s="428">
        <f>inputPrYr!D40</f>
        <v>115000</v>
      </c>
      <c r="E28" s="336">
        <f>E26</f>
        <v>258000</v>
      </c>
    </row>
    <row r="29" spans="2:5" x14ac:dyDescent="0.2">
      <c r="B29" s="83"/>
      <c r="C29" s="184" t="str">
        <f>IF(C26&gt;C28,"See Tab A","")</f>
        <v>See Tab A</v>
      </c>
      <c r="D29" s="184" t="str">
        <f>IF(D26&gt;D28,"See Tab C","")</f>
        <v/>
      </c>
      <c r="E29" s="594" t="str">
        <f>IF(E27&lt;0,"See Tab E","")</f>
        <v/>
      </c>
    </row>
    <row r="30" spans="2:5" x14ac:dyDescent="0.2">
      <c r="B30" s="83"/>
      <c r="C30" s="184" t="str">
        <f>IF(C27&lt;0,"See Tab B","")</f>
        <v/>
      </c>
      <c r="D30" s="184" t="str">
        <f>IF(D27&lt;0,"See Tab D","")</f>
        <v/>
      </c>
      <c r="E30" s="27"/>
    </row>
    <row r="31" spans="2:5" x14ac:dyDescent="0.2">
      <c r="B31" s="6"/>
      <c r="C31" s="27"/>
      <c r="D31" s="27"/>
      <c r="E31" s="27"/>
    </row>
    <row r="32" spans="2:5" x14ac:dyDescent="0.2">
      <c r="B32" s="9" t="s">
        <v>20</v>
      </c>
      <c r="C32" s="203"/>
      <c r="D32" s="203"/>
      <c r="E32" s="203"/>
    </row>
    <row r="33" spans="2:5" x14ac:dyDescent="0.2">
      <c r="B33" s="6"/>
      <c r="C33" s="187" t="str">
        <f t="shared" ref="C33:E34" si="0">C4</f>
        <v xml:space="preserve">Prior Year </v>
      </c>
      <c r="D33" s="89" t="str">
        <f t="shared" si="0"/>
        <v>Current Year</v>
      </c>
      <c r="E33" s="89" t="str">
        <f t="shared" si="0"/>
        <v>Proposed Budget</v>
      </c>
    </row>
    <row r="34" spans="2:5" x14ac:dyDescent="0.2">
      <c r="B34" s="297">
        <f>(inputPrYr!B41)</f>
        <v>0</v>
      </c>
      <c r="C34" s="166" t="str">
        <f t="shared" si="0"/>
        <v>Actual for 2021</v>
      </c>
      <c r="D34" s="166" t="str">
        <f t="shared" si="0"/>
        <v>Estimate for 2022</v>
      </c>
      <c r="E34" s="166" t="str">
        <f t="shared" si="0"/>
        <v>Year for 2023</v>
      </c>
    </row>
    <row r="35" spans="2:5" x14ac:dyDescent="0.2">
      <c r="B35" s="167" t="s">
        <v>99</v>
      </c>
      <c r="C35" s="26"/>
      <c r="D35" s="139">
        <f>C58</f>
        <v>0</v>
      </c>
      <c r="E35" s="139">
        <f>D58</f>
        <v>0</v>
      </c>
    </row>
    <row r="36" spans="2:5" x14ac:dyDescent="0.2">
      <c r="B36" s="167" t="s">
        <v>101</v>
      </c>
      <c r="C36" s="41"/>
      <c r="D36" s="41"/>
      <c r="E36" s="41"/>
    </row>
    <row r="37" spans="2:5" x14ac:dyDescent="0.2">
      <c r="B37" s="180"/>
      <c r="C37" s="26"/>
      <c r="D37" s="26"/>
      <c r="E37" s="26"/>
    </row>
    <row r="38" spans="2:5" x14ac:dyDescent="0.2">
      <c r="B38" s="180"/>
      <c r="C38" s="26"/>
      <c r="D38" s="26"/>
      <c r="E38" s="26"/>
    </row>
    <row r="39" spans="2:5" x14ac:dyDescent="0.2">
      <c r="B39" s="180"/>
      <c r="C39" s="26"/>
      <c r="D39" s="26"/>
      <c r="E39" s="26"/>
    </row>
    <row r="40" spans="2:5" x14ac:dyDescent="0.2">
      <c r="B40" s="180"/>
      <c r="C40" s="26"/>
      <c r="D40" s="26"/>
      <c r="E40" s="26"/>
    </row>
    <row r="41" spans="2:5" x14ac:dyDescent="0.2">
      <c r="B41" s="175" t="s">
        <v>26</v>
      </c>
      <c r="C41" s="26"/>
      <c r="D41" s="26"/>
      <c r="E41" s="26"/>
    </row>
    <row r="42" spans="2:5" x14ac:dyDescent="0.2">
      <c r="B42" s="103" t="s">
        <v>192</v>
      </c>
      <c r="C42" s="26"/>
      <c r="D42" s="169"/>
      <c r="E42" s="169"/>
    </row>
    <row r="43" spans="2:5" x14ac:dyDescent="0.2">
      <c r="B43" s="167" t="s">
        <v>654</v>
      </c>
      <c r="C43" s="299" t="str">
        <f>IF(C44*0.1&lt;C42,"Exceed 10% Rule","")</f>
        <v/>
      </c>
      <c r="D43" s="194" t="str">
        <f>IF(D44*0.1&lt;D42,"Exceed 10% Rule","")</f>
        <v/>
      </c>
      <c r="E43" s="194" t="str">
        <f>IF(E44*0.1&lt;E42,"Exceed 10% Rule","")</f>
        <v/>
      </c>
    </row>
    <row r="44" spans="2:5" x14ac:dyDescent="0.2">
      <c r="B44" s="177" t="s">
        <v>27</v>
      </c>
      <c r="C44" s="198">
        <f>SUM(C37:C42)</f>
        <v>0</v>
      </c>
      <c r="D44" s="198">
        <f>SUM(D37:D42)</f>
        <v>0</v>
      </c>
      <c r="E44" s="198">
        <f>SUM(E37:E42)</f>
        <v>0</v>
      </c>
    </row>
    <row r="45" spans="2:5" x14ac:dyDescent="0.2">
      <c r="B45" s="177" t="s">
        <v>28</v>
      </c>
      <c r="C45" s="198">
        <f>C35+C44</f>
        <v>0</v>
      </c>
      <c r="D45" s="198">
        <f>D35+D44</f>
        <v>0</v>
      </c>
      <c r="E45" s="198">
        <f>E35+E44</f>
        <v>0</v>
      </c>
    </row>
    <row r="46" spans="2:5" x14ac:dyDescent="0.2">
      <c r="B46" s="95" t="s">
        <v>30</v>
      </c>
      <c r="C46" s="139"/>
      <c r="D46" s="139"/>
      <c r="E46" s="139"/>
    </row>
    <row r="47" spans="2:5" x14ac:dyDescent="0.2">
      <c r="B47" s="180"/>
      <c r="C47" s="26"/>
      <c r="D47" s="26"/>
      <c r="E47" s="26"/>
    </row>
    <row r="48" spans="2:5" x14ac:dyDescent="0.2">
      <c r="B48" s="180"/>
      <c r="C48" s="26"/>
      <c r="D48" s="26"/>
      <c r="E48" s="26"/>
    </row>
    <row r="49" spans="2:5" x14ac:dyDescent="0.2">
      <c r="B49" s="180"/>
      <c r="C49" s="26"/>
      <c r="D49" s="26"/>
      <c r="E49" s="26"/>
    </row>
    <row r="50" spans="2:5" x14ac:dyDescent="0.2">
      <c r="B50" s="180"/>
      <c r="C50" s="26"/>
      <c r="D50" s="26"/>
      <c r="E50" s="26"/>
    </row>
    <row r="51" spans="2:5" x14ac:dyDescent="0.2">
      <c r="B51" s="180"/>
      <c r="C51" s="26"/>
      <c r="D51" s="26"/>
      <c r="E51" s="26"/>
    </row>
    <row r="52" spans="2:5" x14ac:dyDescent="0.2">
      <c r="B52" s="180"/>
      <c r="C52" s="26"/>
      <c r="D52" s="26"/>
      <c r="E52" s="26"/>
    </row>
    <row r="53" spans="2:5" x14ac:dyDescent="0.2">
      <c r="B53" s="180"/>
      <c r="C53" s="26"/>
      <c r="D53" s="26"/>
      <c r="E53" s="26"/>
    </row>
    <row r="54" spans="2:5" x14ac:dyDescent="0.2">
      <c r="B54" s="181" t="str">
        <f>CONCATENATE("Cash Forward (",E1," column)")</f>
        <v>Cash Forward (2023 column)</v>
      </c>
      <c r="C54" s="26"/>
      <c r="D54" s="26"/>
      <c r="E54" s="26"/>
    </row>
    <row r="55" spans="2:5" x14ac:dyDescent="0.2">
      <c r="B55" s="181" t="s">
        <v>192</v>
      </c>
      <c r="C55" s="26"/>
      <c r="D55" s="169"/>
      <c r="E55" s="169"/>
    </row>
    <row r="56" spans="2:5" x14ac:dyDescent="0.2">
      <c r="B56" s="181" t="s">
        <v>655</v>
      </c>
      <c r="C56" s="299" t="str">
        <f>IF(C57*0.1&lt;C55,"Exceed 10% Rule","")</f>
        <v/>
      </c>
      <c r="D56" s="194" t="str">
        <f>IF(D57*0.1&lt;D55,"Exceed 10% Rule","")</f>
        <v/>
      </c>
      <c r="E56" s="194" t="str">
        <f>IF(E57*0.1&lt;E55,"Exceed 10% Rule","")</f>
        <v/>
      </c>
    </row>
    <row r="57" spans="2:5" x14ac:dyDescent="0.2">
      <c r="B57" s="177" t="s">
        <v>34</v>
      </c>
      <c r="C57" s="198">
        <f>SUM(C47:C55)</f>
        <v>0</v>
      </c>
      <c r="D57" s="198">
        <f>SUM(D47:D55)</f>
        <v>0</v>
      </c>
      <c r="E57" s="198">
        <f>SUM(E47:E55)</f>
        <v>0</v>
      </c>
    </row>
    <row r="58" spans="2:5" x14ac:dyDescent="0.2">
      <c r="B58" s="95" t="s">
        <v>100</v>
      </c>
      <c r="C58" s="139">
        <f>C45-C57</f>
        <v>0</v>
      </c>
      <c r="D58" s="139">
        <f>D45-D57</f>
        <v>0</v>
      </c>
      <c r="E58" s="139">
        <f>E45-E57</f>
        <v>0</v>
      </c>
    </row>
    <row r="59" spans="2:5" x14ac:dyDescent="0.2">
      <c r="B59" s="110" t="str">
        <f>CONCATENATE("",E1-2,"/",E1-1,"/",E1," Budget Authority Amount:")</f>
        <v>2021/2022/2023 Budget Authority Amount:</v>
      </c>
      <c r="C59" s="428">
        <f>inputOth!B84</f>
        <v>0</v>
      </c>
      <c r="D59" s="428">
        <f>inputPrYr!D41</f>
        <v>0</v>
      </c>
      <c r="E59" s="336">
        <f>E57</f>
        <v>0</v>
      </c>
    </row>
    <row r="60" spans="2:5" x14ac:dyDescent="0.2">
      <c r="B60" s="83"/>
      <c r="C60" s="184" t="str">
        <f>IF(C57&gt;C59,"See Tab A","")</f>
        <v/>
      </c>
      <c r="D60" s="184" t="str">
        <f>IF(D57&gt;D59,"See Tab C","")</f>
        <v/>
      </c>
      <c r="E60" s="594" t="str">
        <f>IF(E58&lt;0,"See Tab E","")</f>
        <v/>
      </c>
    </row>
    <row r="61" spans="2:5" x14ac:dyDescent="0.2">
      <c r="B61" s="728" t="s">
        <v>839</v>
      </c>
      <c r="C61" s="701" t="str">
        <f>IF(C58&lt;0,"See Tab B","")</f>
        <v/>
      </c>
      <c r="D61" s="701" t="str">
        <f>IF(D58&lt;0,"See Tab D","")</f>
        <v/>
      </c>
      <c r="E61" s="707"/>
    </row>
    <row r="62" spans="2:5" x14ac:dyDescent="0.2">
      <c r="B62" s="703"/>
      <c r="C62" s="704"/>
      <c r="D62" s="704"/>
      <c r="E62" s="708"/>
    </row>
    <row r="63" spans="2:5" x14ac:dyDescent="0.2">
      <c r="B63" s="705"/>
      <c r="C63" s="706"/>
      <c r="D63" s="706"/>
      <c r="E63" s="66"/>
    </row>
    <row r="64" spans="2:5" x14ac:dyDescent="0.2">
      <c r="B64" s="6"/>
      <c r="C64" s="6"/>
      <c r="D64" s="6"/>
      <c r="E64" s="6"/>
    </row>
    <row r="65" spans="2:5" x14ac:dyDescent="0.2">
      <c r="B65" s="83" t="s">
        <v>37</v>
      </c>
      <c r="C65" s="600">
        <v>15</v>
      </c>
      <c r="D65" s="6"/>
      <c r="E65" s="6"/>
    </row>
  </sheetData>
  <sheetProtection sheet="1" objects="1" scenarios="1"/>
  <phoneticPr fontId="0" type="noConversion"/>
  <conditionalFormatting sqref="C13">
    <cfRule type="cellIs" dxfId="87" priority="6" stopIfTrue="1" operator="greaterThan">
      <formula>$C$15*0.1</formula>
    </cfRule>
  </conditionalFormatting>
  <conditionalFormatting sqref="E13">
    <cfRule type="cellIs" dxfId="86" priority="8" stopIfTrue="1" operator="greaterThan">
      <formula>$E$15*0.1</formula>
    </cfRule>
  </conditionalFormatting>
  <conditionalFormatting sqref="C24">
    <cfRule type="cellIs" dxfId="85" priority="9" stopIfTrue="1" operator="greaterThan">
      <formula>$C$26*0.1</formula>
    </cfRule>
  </conditionalFormatting>
  <conditionalFormatting sqref="D24">
    <cfRule type="cellIs" dxfId="84" priority="10" stopIfTrue="1" operator="greaterThan">
      <formula>$D$26*0.1</formula>
    </cfRule>
  </conditionalFormatting>
  <conditionalFormatting sqref="E24">
    <cfRule type="cellIs" dxfId="83" priority="11" stopIfTrue="1" operator="greaterThan">
      <formula>$E$26*0.1</formula>
    </cfRule>
  </conditionalFormatting>
  <conditionalFormatting sqref="C42">
    <cfRule type="cellIs" dxfId="82" priority="12" stopIfTrue="1" operator="greaterThan">
      <formula>$C$44*0.1</formula>
    </cfRule>
  </conditionalFormatting>
  <conditionalFormatting sqref="D42">
    <cfRule type="cellIs" dxfId="81" priority="13" stopIfTrue="1" operator="greaterThan">
      <formula>$D$44*0.1</formula>
    </cfRule>
  </conditionalFormatting>
  <conditionalFormatting sqref="E42">
    <cfRule type="cellIs" dxfId="80" priority="14" stopIfTrue="1" operator="greaterThan">
      <formula>$E$44*0.1</formula>
    </cfRule>
  </conditionalFormatting>
  <conditionalFormatting sqref="C55">
    <cfRule type="cellIs" dxfId="79" priority="15" stopIfTrue="1" operator="greaterThan">
      <formula>$C$57*0.1</formula>
    </cfRule>
  </conditionalFormatting>
  <conditionalFormatting sqref="D55">
    <cfRule type="cellIs" dxfId="78" priority="16" stopIfTrue="1" operator="greaterThan">
      <formula>$D$57*0.1</formula>
    </cfRule>
  </conditionalFormatting>
  <conditionalFormatting sqref="E55">
    <cfRule type="cellIs" dxfId="77" priority="17" stopIfTrue="1" operator="greaterThan">
      <formula>$E$57*0.1</formula>
    </cfRule>
  </conditionalFormatting>
  <conditionalFormatting sqref="E58 C58 E27 C27">
    <cfRule type="cellIs" dxfId="76" priority="18" stopIfTrue="1" operator="lessThan">
      <formula>0</formula>
    </cfRule>
  </conditionalFormatting>
  <conditionalFormatting sqref="D57">
    <cfRule type="cellIs" dxfId="75" priority="19" stopIfTrue="1" operator="greaterThan">
      <formula>$D$59</formula>
    </cfRule>
  </conditionalFormatting>
  <conditionalFormatting sqref="C57">
    <cfRule type="cellIs" dxfId="74" priority="20" stopIfTrue="1" operator="greaterThan">
      <formula>$C$59</formula>
    </cfRule>
  </conditionalFormatting>
  <conditionalFormatting sqref="D26">
    <cfRule type="cellIs" dxfId="73" priority="21" stopIfTrue="1" operator="greaterThan">
      <formula>$D$28</formula>
    </cfRule>
  </conditionalFormatting>
  <conditionalFormatting sqref="C26">
    <cfRule type="cellIs" dxfId="72" priority="22" stopIfTrue="1" operator="greaterThan">
      <formula>$C$28</formula>
    </cfRule>
  </conditionalFormatting>
  <conditionalFormatting sqref="D58">
    <cfRule type="cellIs" dxfId="71" priority="5" stopIfTrue="1" operator="lessThan">
      <formula>0</formula>
    </cfRule>
  </conditionalFormatting>
  <conditionalFormatting sqref="D27">
    <cfRule type="cellIs" dxfId="70" priority="4" stopIfTrue="1" operator="lessThan">
      <formula>0</formula>
    </cfRule>
  </conditionalFormatting>
  <conditionalFormatting sqref="E28">
    <cfRule type="cellIs" dxfId="69" priority="3" stopIfTrue="1" operator="lessThan">
      <formula>0</formula>
    </cfRule>
  </conditionalFormatting>
  <conditionalFormatting sqref="E59">
    <cfRule type="cellIs" dxfId="68" priority="2" stopIfTrue="1" operator="lessThan">
      <formula>0</formula>
    </cfRule>
  </conditionalFormatting>
  <conditionalFormatting sqref="D13">
    <cfRule type="cellIs" dxfId="67" priority="1" stopIfTrue="1" operator="greaterThan">
      <formula>$D$15*0.1</formula>
    </cfRule>
  </conditionalFormatting>
  <pageMargins left="0.5" right="0.5" top="1" bottom="0.5" header="0.5" footer="0.5"/>
  <pageSetup scale="72" orientation="portrait" blackAndWhite="1" horizontalDpi="120" verticalDpi="144" r:id="rId1"/>
  <headerFooter alignWithMargins="0">
    <oddHeader xml:space="preserve">&amp;RState of Kansas
City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tabColor rgb="FF00B0F0"/>
    <pageSetUpPr fitToPage="1"/>
  </sheetPr>
  <dimension ref="B1:E65"/>
  <sheetViews>
    <sheetView topLeftCell="A40" workbookViewId="0">
      <selection activeCell="O67" sqref="O67"/>
    </sheetView>
  </sheetViews>
  <sheetFormatPr defaultRowHeight="15.75" x14ac:dyDescent="0.2"/>
  <cols>
    <col min="1" max="1" width="2.44140625" style="7" customWidth="1"/>
    <col min="2" max="2" width="31.109375" style="7" customWidth="1"/>
    <col min="3" max="4" width="15.77734375" style="7" customWidth="1"/>
    <col min="5" max="5" width="16.33203125" style="7" customWidth="1"/>
    <col min="6" max="16384" width="8.88671875" style="7"/>
  </cols>
  <sheetData>
    <row r="1" spans="2:5" x14ac:dyDescent="0.2">
      <c r="B1" s="112" t="str">
        <f>(inputPrYr!D3)</f>
        <v>Valley Falls</v>
      </c>
      <c r="C1" s="6"/>
      <c r="D1" s="6"/>
      <c r="E1" s="158">
        <f>inputPrYr!C6</f>
        <v>2023</v>
      </c>
    </row>
    <row r="2" spans="2:5" x14ac:dyDescent="0.2">
      <c r="B2" s="6"/>
      <c r="C2" s="6"/>
      <c r="D2" s="6"/>
      <c r="E2" s="108"/>
    </row>
    <row r="3" spans="2:5" x14ac:dyDescent="0.2">
      <c r="B3" s="17" t="s">
        <v>85</v>
      </c>
      <c r="C3" s="197"/>
      <c r="D3" s="197"/>
      <c r="E3" s="197"/>
    </row>
    <row r="4" spans="2:5" x14ac:dyDescent="0.2">
      <c r="B4" s="9" t="s">
        <v>20</v>
      </c>
      <c r="C4" s="539" t="s">
        <v>665</v>
      </c>
      <c r="D4" s="540" t="s">
        <v>666</v>
      </c>
      <c r="E4" s="89" t="s">
        <v>667</v>
      </c>
    </row>
    <row r="5" spans="2:5" x14ac:dyDescent="0.2">
      <c r="B5" s="298">
        <f>inputPrYr!B42</f>
        <v>0</v>
      </c>
      <c r="C5" s="283" t="str">
        <f>CONCATENATE("Actual for ",E1-2,"")</f>
        <v>Actual for 2021</v>
      </c>
      <c r="D5" s="283" t="str">
        <f>CONCATENATE("Estimate for ",E1-1,"")</f>
        <v>Estimate for 2022</v>
      </c>
      <c r="E5" s="166" t="str">
        <f>CONCATENATE("Year for ",E1,"")</f>
        <v>Year for 2023</v>
      </c>
    </row>
    <row r="6" spans="2:5" x14ac:dyDescent="0.2">
      <c r="B6" s="167" t="s">
        <v>99</v>
      </c>
      <c r="C6" s="26"/>
      <c r="D6" s="139">
        <f>C27</f>
        <v>0</v>
      </c>
      <c r="E6" s="139">
        <f>D27</f>
        <v>0</v>
      </c>
    </row>
    <row r="7" spans="2:5" x14ac:dyDescent="0.2">
      <c r="B7" s="170" t="s">
        <v>101</v>
      </c>
      <c r="C7" s="41"/>
      <c r="D7" s="41"/>
      <c r="E7" s="41"/>
    </row>
    <row r="8" spans="2:5" x14ac:dyDescent="0.2">
      <c r="B8" s="180"/>
      <c r="C8" s="26"/>
      <c r="D8" s="26"/>
      <c r="E8" s="26"/>
    </row>
    <row r="9" spans="2:5" x14ac:dyDescent="0.2">
      <c r="B9" s="180"/>
      <c r="C9" s="26"/>
      <c r="D9" s="26"/>
      <c r="E9" s="26"/>
    </row>
    <row r="10" spans="2:5" x14ac:dyDescent="0.2">
      <c r="B10" s="180"/>
      <c r="C10" s="26"/>
      <c r="D10" s="26"/>
      <c r="E10" s="26"/>
    </row>
    <row r="11" spans="2:5" x14ac:dyDescent="0.2">
      <c r="B11" s="180"/>
      <c r="C11" s="26"/>
      <c r="D11" s="26"/>
      <c r="E11" s="26"/>
    </row>
    <row r="12" spans="2:5" x14ac:dyDescent="0.2">
      <c r="B12" s="175" t="s">
        <v>26</v>
      </c>
      <c r="C12" s="26"/>
      <c r="D12" s="26"/>
      <c r="E12" s="26"/>
    </row>
    <row r="13" spans="2:5" x14ac:dyDescent="0.2">
      <c r="B13" s="103" t="s">
        <v>192</v>
      </c>
      <c r="C13" s="26"/>
      <c r="D13" s="169"/>
      <c r="E13" s="169"/>
    </row>
    <row r="14" spans="2:5" x14ac:dyDescent="0.2">
      <c r="B14" s="167" t="s">
        <v>654</v>
      </c>
      <c r="C14" s="299" t="str">
        <f>IF(C15*0.1&lt;C13,"Exceed 10% Rule","")</f>
        <v/>
      </c>
      <c r="D14" s="194" t="str">
        <f>IF(D15*0.1&lt;D13,"Exceed 10% Rule","")</f>
        <v/>
      </c>
      <c r="E14" s="194" t="str">
        <f>IF(E15*0.1&lt;E13,"Exceed 10% Rule","")</f>
        <v/>
      </c>
    </row>
    <row r="15" spans="2:5" x14ac:dyDescent="0.2">
      <c r="B15" s="177" t="s">
        <v>27</v>
      </c>
      <c r="C15" s="198">
        <f>SUM(C8:C13)</f>
        <v>0</v>
      </c>
      <c r="D15" s="198">
        <f>SUM(D8:D13)</f>
        <v>0</v>
      </c>
      <c r="E15" s="198">
        <f>SUM(E8:E13)</f>
        <v>0</v>
      </c>
    </row>
    <row r="16" spans="2:5" x14ac:dyDescent="0.2">
      <c r="B16" s="177" t="s">
        <v>28</v>
      </c>
      <c r="C16" s="198">
        <f>C6+C15</f>
        <v>0</v>
      </c>
      <c r="D16" s="198">
        <f>D6+D15</f>
        <v>0</v>
      </c>
      <c r="E16" s="198">
        <f>E6+E15</f>
        <v>0</v>
      </c>
    </row>
    <row r="17" spans="2:5" x14ac:dyDescent="0.2">
      <c r="B17" s="95" t="s">
        <v>30</v>
      </c>
      <c r="C17" s="139"/>
      <c r="D17" s="139"/>
      <c r="E17" s="139"/>
    </row>
    <row r="18" spans="2:5" x14ac:dyDescent="0.2">
      <c r="B18" s="180"/>
      <c r="C18" s="26"/>
      <c r="D18" s="26"/>
      <c r="E18" s="26"/>
    </row>
    <row r="19" spans="2:5" x14ac:dyDescent="0.2">
      <c r="B19" s="180"/>
      <c r="C19" s="26"/>
      <c r="D19" s="26"/>
      <c r="E19" s="26"/>
    </row>
    <row r="20" spans="2:5" x14ac:dyDescent="0.2">
      <c r="B20" s="180"/>
      <c r="C20" s="26"/>
      <c r="D20" s="26"/>
      <c r="E20" s="26"/>
    </row>
    <row r="21" spans="2:5" x14ac:dyDescent="0.2">
      <c r="B21" s="180"/>
      <c r="C21" s="26"/>
      <c r="D21" s="26"/>
      <c r="E21" s="26"/>
    </row>
    <row r="22" spans="2:5" x14ac:dyDescent="0.2">
      <c r="B22" s="180"/>
      <c r="C22" s="26"/>
      <c r="D22" s="26"/>
      <c r="E22" s="26"/>
    </row>
    <row r="23" spans="2:5" x14ac:dyDescent="0.2">
      <c r="B23" s="181" t="str">
        <f>CONCATENATE("Cash Forward (",E1," column)")</f>
        <v>Cash Forward (2023 column)</v>
      </c>
      <c r="C23" s="26"/>
      <c r="D23" s="26"/>
      <c r="E23" s="26"/>
    </row>
    <row r="24" spans="2:5" x14ac:dyDescent="0.2">
      <c r="B24" s="181" t="s">
        <v>192</v>
      </c>
      <c r="C24" s="26"/>
      <c r="D24" s="169"/>
      <c r="E24" s="169"/>
    </row>
    <row r="25" spans="2:5" x14ac:dyDescent="0.2">
      <c r="B25" s="181" t="s">
        <v>655</v>
      </c>
      <c r="C25" s="299" t="str">
        <f>IF(C26*0.1&lt;C24,"Exceed 10% Rule","")</f>
        <v/>
      </c>
      <c r="D25" s="194" t="str">
        <f>IF(D26*0.1&lt;D24,"Exceed 10% Rule","")</f>
        <v/>
      </c>
      <c r="E25" s="194" t="str">
        <f>IF(E26*0.1&lt;E24,"Exceed 10% Rule","")</f>
        <v/>
      </c>
    </row>
    <row r="26" spans="2:5" x14ac:dyDescent="0.2">
      <c r="B26" s="177" t="s">
        <v>34</v>
      </c>
      <c r="C26" s="198">
        <f>SUM(C18:C24)</f>
        <v>0</v>
      </c>
      <c r="D26" s="198">
        <f>SUM(D18:D24)</f>
        <v>0</v>
      </c>
      <c r="E26" s="198">
        <f>SUM(E18:E24)</f>
        <v>0</v>
      </c>
    </row>
    <row r="27" spans="2:5" x14ac:dyDescent="0.2">
      <c r="B27" s="95" t="s">
        <v>100</v>
      </c>
      <c r="C27" s="139">
        <f>C16-C26</f>
        <v>0</v>
      </c>
      <c r="D27" s="139">
        <f>D16-D26</f>
        <v>0</v>
      </c>
      <c r="E27" s="139">
        <f>E16-E26</f>
        <v>0</v>
      </c>
    </row>
    <row r="28" spans="2:5" x14ac:dyDescent="0.2">
      <c r="B28" s="110" t="str">
        <f>CONCATENATE("",E1-2,"/",E1-1,"/",E1," Budget Authority Amount:")</f>
        <v>2021/2022/2023 Budget Authority Amount:</v>
      </c>
      <c r="C28" s="428">
        <f>inputOth!B85</f>
        <v>0</v>
      </c>
      <c r="D28" s="428">
        <f>inputPrYr!D42</f>
        <v>0</v>
      </c>
      <c r="E28" s="336">
        <f>E26</f>
        <v>0</v>
      </c>
    </row>
    <row r="29" spans="2:5" x14ac:dyDescent="0.2">
      <c r="B29" s="83"/>
      <c r="C29" s="184" t="str">
        <f>IF(C26&gt;C28,"See Tab A","")</f>
        <v/>
      </c>
      <c r="D29" s="184" t="str">
        <f>IF(D26&gt;D28,"See Tab C","")</f>
        <v/>
      </c>
      <c r="E29" s="594" t="str">
        <f>IF(E27&lt;0,"See Tab E","")</f>
        <v/>
      </c>
    </row>
    <row r="30" spans="2:5" x14ac:dyDescent="0.2">
      <c r="B30" s="83"/>
      <c r="C30" s="184" t="str">
        <f>IF(C27&lt;0,"See Tab B","")</f>
        <v/>
      </c>
      <c r="D30" s="184" t="str">
        <f>IF(D27&lt;0,"See Tab D","")</f>
        <v/>
      </c>
      <c r="E30" s="34"/>
    </row>
    <row r="31" spans="2:5" x14ac:dyDescent="0.2">
      <c r="B31" s="37"/>
      <c r="C31" s="34"/>
      <c r="D31" s="34"/>
      <c r="E31" s="34"/>
    </row>
    <row r="32" spans="2:5" x14ac:dyDescent="0.2">
      <c r="B32" s="9" t="s">
        <v>20</v>
      </c>
      <c r="C32" s="203"/>
      <c r="D32" s="203"/>
      <c r="E32" s="203"/>
    </row>
    <row r="33" spans="2:5" x14ac:dyDescent="0.2">
      <c r="B33" s="6"/>
      <c r="C33" s="187" t="str">
        <f t="shared" ref="C33:E34" si="0">C4</f>
        <v xml:space="preserve">Prior Year </v>
      </c>
      <c r="D33" s="89" t="str">
        <f t="shared" si="0"/>
        <v>Current Year</v>
      </c>
      <c r="E33" s="89" t="str">
        <f t="shared" si="0"/>
        <v>Proposed Budget</v>
      </c>
    </row>
    <row r="34" spans="2:5" x14ac:dyDescent="0.2">
      <c r="B34" s="297">
        <f>inputPrYr!B43</f>
        <v>0</v>
      </c>
      <c r="C34" s="166" t="str">
        <f t="shared" si="0"/>
        <v>Actual for 2021</v>
      </c>
      <c r="D34" s="166" t="str">
        <f t="shared" si="0"/>
        <v>Estimate for 2022</v>
      </c>
      <c r="E34" s="166" t="str">
        <f t="shared" si="0"/>
        <v>Year for 2023</v>
      </c>
    </row>
    <row r="35" spans="2:5" x14ac:dyDescent="0.2">
      <c r="B35" s="167" t="s">
        <v>99</v>
      </c>
      <c r="C35" s="26"/>
      <c r="D35" s="139">
        <f>C58</f>
        <v>0</v>
      </c>
      <c r="E35" s="139">
        <f>D58</f>
        <v>0</v>
      </c>
    </row>
    <row r="36" spans="2:5" x14ac:dyDescent="0.2">
      <c r="B36" s="167" t="s">
        <v>101</v>
      </c>
      <c r="C36" s="41"/>
      <c r="D36" s="41"/>
      <c r="E36" s="41"/>
    </row>
    <row r="37" spans="2:5" x14ac:dyDescent="0.2">
      <c r="B37" s="180"/>
      <c r="C37" s="26"/>
      <c r="D37" s="26"/>
      <c r="E37" s="26"/>
    </row>
    <row r="38" spans="2:5" x14ac:dyDescent="0.2">
      <c r="B38" s="180"/>
      <c r="C38" s="26"/>
      <c r="D38" s="26"/>
      <c r="E38" s="26"/>
    </row>
    <row r="39" spans="2:5" x14ac:dyDescent="0.2">
      <c r="B39" s="180"/>
      <c r="C39" s="26"/>
      <c r="D39" s="26"/>
      <c r="E39" s="26"/>
    </row>
    <row r="40" spans="2:5" x14ac:dyDescent="0.2">
      <c r="B40" s="180"/>
      <c r="C40" s="26"/>
      <c r="D40" s="26"/>
      <c r="E40" s="26"/>
    </row>
    <row r="41" spans="2:5" x14ac:dyDescent="0.2">
      <c r="B41" s="175" t="s">
        <v>26</v>
      </c>
      <c r="C41" s="26"/>
      <c r="D41" s="26"/>
      <c r="E41" s="26"/>
    </row>
    <row r="42" spans="2:5" x14ac:dyDescent="0.2">
      <c r="B42" s="103" t="s">
        <v>192</v>
      </c>
      <c r="C42" s="26"/>
      <c r="D42" s="169"/>
      <c r="E42" s="169"/>
    </row>
    <row r="43" spans="2:5" x14ac:dyDescent="0.2">
      <c r="B43" s="167" t="s">
        <v>654</v>
      </c>
      <c r="C43" s="299" t="str">
        <f>IF(C44*0.1&lt;C42,"Exceed 10% Rule","")</f>
        <v/>
      </c>
      <c r="D43" s="194" t="str">
        <f>IF(D44*0.1&lt;D42,"Exceed 10% Rule","")</f>
        <v/>
      </c>
      <c r="E43" s="194" t="str">
        <f>IF(E44*0.1&lt;E42,"Exceed 10% Rule","")</f>
        <v/>
      </c>
    </row>
    <row r="44" spans="2:5" x14ac:dyDescent="0.2">
      <c r="B44" s="177" t="s">
        <v>27</v>
      </c>
      <c r="C44" s="198">
        <f>SUM(C37:C42)</f>
        <v>0</v>
      </c>
      <c r="D44" s="198">
        <f>SUM(D37:D42)</f>
        <v>0</v>
      </c>
      <c r="E44" s="198">
        <f>SUM(E37:E42)</f>
        <v>0</v>
      </c>
    </row>
    <row r="45" spans="2:5" x14ac:dyDescent="0.2">
      <c r="B45" s="177" t="s">
        <v>28</v>
      </c>
      <c r="C45" s="198">
        <f>C35+C44</f>
        <v>0</v>
      </c>
      <c r="D45" s="198">
        <f>D35+D44</f>
        <v>0</v>
      </c>
      <c r="E45" s="198">
        <f>E35+E44</f>
        <v>0</v>
      </c>
    </row>
    <row r="46" spans="2:5" x14ac:dyDescent="0.2">
      <c r="B46" s="95" t="s">
        <v>30</v>
      </c>
      <c r="C46" s="139"/>
      <c r="D46" s="139"/>
      <c r="E46" s="139"/>
    </row>
    <row r="47" spans="2:5" x14ac:dyDescent="0.2">
      <c r="B47" s="180"/>
      <c r="C47" s="26"/>
      <c r="D47" s="26"/>
      <c r="E47" s="26"/>
    </row>
    <row r="48" spans="2:5" x14ac:dyDescent="0.2">
      <c r="B48" s="180"/>
      <c r="C48" s="26"/>
      <c r="D48" s="26"/>
      <c r="E48" s="26"/>
    </row>
    <row r="49" spans="2:5" x14ac:dyDescent="0.2">
      <c r="B49" s="180"/>
      <c r="C49" s="26"/>
      <c r="D49" s="26"/>
      <c r="E49" s="26"/>
    </row>
    <row r="50" spans="2:5" x14ac:dyDescent="0.2">
      <c r="B50" s="180"/>
      <c r="C50" s="26"/>
      <c r="D50" s="26"/>
      <c r="E50" s="26"/>
    </row>
    <row r="51" spans="2:5" x14ac:dyDescent="0.2">
      <c r="B51" s="180"/>
      <c r="C51" s="26"/>
      <c r="D51" s="26"/>
      <c r="E51" s="26"/>
    </row>
    <row r="52" spans="2:5" x14ac:dyDescent="0.2">
      <c r="B52" s="180"/>
      <c r="C52" s="26"/>
      <c r="D52" s="26"/>
      <c r="E52" s="26"/>
    </row>
    <row r="53" spans="2:5" x14ac:dyDescent="0.2">
      <c r="B53" s="180"/>
      <c r="C53" s="26"/>
      <c r="D53" s="26"/>
      <c r="E53" s="26"/>
    </row>
    <row r="54" spans="2:5" x14ac:dyDescent="0.2">
      <c r="B54" s="181" t="str">
        <f>CONCATENATE("Cash Forward (",E1," column)")</f>
        <v>Cash Forward (2023 column)</v>
      </c>
      <c r="C54" s="26"/>
      <c r="D54" s="26"/>
      <c r="E54" s="26"/>
    </row>
    <row r="55" spans="2:5" x14ac:dyDescent="0.2">
      <c r="B55" s="181" t="s">
        <v>192</v>
      </c>
      <c r="C55" s="26"/>
      <c r="D55" s="169"/>
      <c r="E55" s="169"/>
    </row>
    <row r="56" spans="2:5" x14ac:dyDescent="0.2">
      <c r="B56" s="181" t="s">
        <v>655</v>
      </c>
      <c r="C56" s="299" t="str">
        <f>IF(C57*0.1&lt;C55,"Exceed 10% Rule","")</f>
        <v/>
      </c>
      <c r="D56" s="194" t="str">
        <f>IF(D57*0.1&lt;D55,"Exceed 10% Rule","")</f>
        <v/>
      </c>
      <c r="E56" s="194" t="str">
        <f>IF(E57*0.1&lt;E55,"Exceed 10% Rule","")</f>
        <v/>
      </c>
    </row>
    <row r="57" spans="2:5" x14ac:dyDescent="0.2">
      <c r="B57" s="177" t="s">
        <v>34</v>
      </c>
      <c r="C57" s="198">
        <f>SUM(C47:C55)</f>
        <v>0</v>
      </c>
      <c r="D57" s="198">
        <f>SUM(D47:D55)</f>
        <v>0</v>
      </c>
      <c r="E57" s="198">
        <f>SUM(E47:E55)</f>
        <v>0</v>
      </c>
    </row>
    <row r="58" spans="2:5" x14ac:dyDescent="0.2">
      <c r="B58" s="95" t="s">
        <v>100</v>
      </c>
      <c r="C58" s="139">
        <f>C45-C57</f>
        <v>0</v>
      </c>
      <c r="D58" s="139">
        <f>D45-D57</f>
        <v>0</v>
      </c>
      <c r="E58" s="139">
        <f>E45-E57</f>
        <v>0</v>
      </c>
    </row>
    <row r="59" spans="2:5" x14ac:dyDescent="0.2">
      <c r="B59" s="110" t="str">
        <f>CONCATENATE("",E1-2,"/",E1-1,"/",E1," Budget Authority Amount:")</f>
        <v>2021/2022/2023 Budget Authority Amount:</v>
      </c>
      <c r="C59" s="428">
        <f>inputOth!B86</f>
        <v>0</v>
      </c>
      <c r="D59" s="428">
        <f>inputPrYr!D43</f>
        <v>0</v>
      </c>
      <c r="E59" s="336">
        <f>E57</f>
        <v>0</v>
      </c>
    </row>
    <row r="60" spans="2:5" x14ac:dyDescent="0.2">
      <c r="B60" s="83"/>
      <c r="C60" s="184" t="str">
        <f>IF(C57&gt;C59,"See Tab A","")</f>
        <v/>
      </c>
      <c r="D60" s="184" t="str">
        <f>IF(D57&gt;D59,"See Tab C","")</f>
        <v/>
      </c>
      <c r="E60" s="594" t="str">
        <f>IF(E58&lt;0,"See Tab E","")</f>
        <v/>
      </c>
    </row>
    <row r="61" spans="2:5" x14ac:dyDescent="0.2">
      <c r="B61" s="728" t="s">
        <v>839</v>
      </c>
      <c r="C61" s="701" t="str">
        <f>IF(C58&lt;0,"See Tab B","")</f>
        <v/>
      </c>
      <c r="D61" s="701" t="str">
        <f>IF(D58&lt;0,"See Tab D","")</f>
        <v/>
      </c>
      <c r="E61" s="707"/>
    </row>
    <row r="62" spans="2:5" x14ac:dyDescent="0.2">
      <c r="B62" s="703"/>
      <c r="C62" s="704"/>
      <c r="D62" s="704"/>
      <c r="E62" s="708"/>
    </row>
    <row r="63" spans="2:5" x14ac:dyDescent="0.2">
      <c r="B63" s="705"/>
      <c r="C63" s="706"/>
      <c r="D63" s="706"/>
      <c r="E63" s="66"/>
    </row>
    <row r="64" spans="2:5" x14ac:dyDescent="0.2">
      <c r="B64" s="6"/>
      <c r="C64" s="6"/>
      <c r="D64" s="6"/>
      <c r="E64" s="6"/>
    </row>
    <row r="65" spans="2:5" x14ac:dyDescent="0.2">
      <c r="B65" s="83" t="s">
        <v>37</v>
      </c>
      <c r="C65" s="600">
        <v>16</v>
      </c>
      <c r="D65" s="6"/>
      <c r="E65" s="6"/>
    </row>
  </sheetData>
  <sheetProtection sheet="1" objects="1" scenarios="1"/>
  <phoneticPr fontId="0" type="noConversion"/>
  <conditionalFormatting sqref="C13">
    <cfRule type="cellIs" dxfId="66" priority="5" stopIfTrue="1" operator="greaterThan">
      <formula>$C$15*0.1</formula>
    </cfRule>
  </conditionalFormatting>
  <conditionalFormatting sqref="D13">
    <cfRule type="cellIs" dxfId="65" priority="6" stopIfTrue="1" operator="greaterThan">
      <formula>$D$15*0.1</formula>
    </cfRule>
  </conditionalFormatting>
  <conditionalFormatting sqref="E13">
    <cfRule type="cellIs" dxfId="64" priority="7" stopIfTrue="1" operator="greaterThan">
      <formula>$E$15*0.1</formula>
    </cfRule>
  </conditionalFormatting>
  <conditionalFormatting sqref="C24">
    <cfRule type="cellIs" dxfId="63" priority="8" stopIfTrue="1" operator="greaterThan">
      <formula>$C$26*0.1</formula>
    </cfRule>
  </conditionalFormatting>
  <conditionalFormatting sqref="D24">
    <cfRule type="cellIs" dxfId="62" priority="9" stopIfTrue="1" operator="greaterThan">
      <formula>$D$26*0.1</formula>
    </cfRule>
  </conditionalFormatting>
  <conditionalFormatting sqref="E24">
    <cfRule type="cellIs" dxfId="61" priority="10" stopIfTrue="1" operator="greaterThan">
      <formula>$E$26*0.1</formula>
    </cfRule>
  </conditionalFormatting>
  <conditionalFormatting sqref="C42">
    <cfRule type="cellIs" dxfId="60" priority="11" stopIfTrue="1" operator="greaterThan">
      <formula>$C$44*0.1</formula>
    </cfRule>
  </conditionalFormatting>
  <conditionalFormatting sqref="D42">
    <cfRule type="cellIs" dxfId="59" priority="12" stopIfTrue="1" operator="greaterThan">
      <formula>$D$44*0.1</formula>
    </cfRule>
  </conditionalFormatting>
  <conditionalFormatting sqref="E42">
    <cfRule type="cellIs" dxfId="58" priority="13" stopIfTrue="1" operator="greaterThan">
      <formula>$E$44*0.1</formula>
    </cfRule>
  </conditionalFormatting>
  <conditionalFormatting sqref="C55">
    <cfRule type="cellIs" dxfId="57" priority="14" stopIfTrue="1" operator="greaterThan">
      <formula>$C$57*0.1</formula>
    </cfRule>
  </conditionalFormatting>
  <conditionalFormatting sqref="D55">
    <cfRule type="cellIs" dxfId="56" priority="15" stopIfTrue="1" operator="greaterThan">
      <formula>$D$57*0.1</formula>
    </cfRule>
  </conditionalFormatting>
  <conditionalFormatting sqref="E55">
    <cfRule type="cellIs" dxfId="55" priority="16" stopIfTrue="1" operator="greaterThan">
      <formula>$E$57*0.1</formula>
    </cfRule>
  </conditionalFormatting>
  <conditionalFormatting sqref="E27 C27 E58 C58">
    <cfRule type="cellIs" dxfId="54" priority="17" stopIfTrue="1" operator="lessThan">
      <formula>0</formula>
    </cfRule>
  </conditionalFormatting>
  <conditionalFormatting sqref="D26">
    <cfRule type="cellIs" dxfId="53" priority="18" stopIfTrue="1" operator="greaterThan">
      <formula>$D$28</formula>
    </cfRule>
  </conditionalFormatting>
  <conditionalFormatting sqref="C26">
    <cfRule type="cellIs" dxfId="52" priority="19" stopIfTrue="1" operator="greaterThan">
      <formula>$C$28</formula>
    </cfRule>
  </conditionalFormatting>
  <conditionalFormatting sqref="D57">
    <cfRule type="cellIs" dxfId="51" priority="20" stopIfTrue="1" operator="greaterThan">
      <formula>$D$59</formula>
    </cfRule>
  </conditionalFormatting>
  <conditionalFormatting sqref="C57">
    <cfRule type="cellIs" dxfId="50" priority="21" stopIfTrue="1" operator="greaterThan">
      <formula>$C$59</formula>
    </cfRule>
  </conditionalFormatting>
  <conditionalFormatting sqref="D58">
    <cfRule type="cellIs" dxfId="49" priority="4" stopIfTrue="1" operator="lessThan">
      <formula>0</formula>
    </cfRule>
  </conditionalFormatting>
  <conditionalFormatting sqref="D27">
    <cfRule type="cellIs" dxfId="48" priority="3" stopIfTrue="1" operator="lessThan">
      <formula>0</formula>
    </cfRule>
  </conditionalFormatting>
  <conditionalFormatting sqref="E28">
    <cfRule type="cellIs" dxfId="47" priority="2" stopIfTrue="1" operator="lessThan">
      <formula>0</formula>
    </cfRule>
  </conditionalFormatting>
  <conditionalFormatting sqref="E59">
    <cfRule type="cellIs" dxfId="46" priority="1" stopIfTrue="1" operator="lessThan">
      <formula>0</formula>
    </cfRule>
  </conditionalFormatting>
  <pageMargins left="0.5" right="0.5" top="1" bottom="0.5" header="0.5" footer="0.5"/>
  <pageSetup scale="72" orientation="portrait" blackAndWhite="1" horizontalDpi="120" verticalDpi="144" r:id="rId1"/>
  <headerFooter alignWithMargins="0">
    <oddHeader xml:space="preserve">&amp;RState of Kansas
City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rgb="FF00B0F0"/>
    <pageSetUpPr fitToPage="1"/>
  </sheetPr>
  <dimension ref="B1:E52"/>
  <sheetViews>
    <sheetView topLeftCell="A37" workbookViewId="0">
      <selection activeCell="L63" sqref="L63"/>
    </sheetView>
  </sheetViews>
  <sheetFormatPr defaultRowHeight="15" x14ac:dyDescent="0.2"/>
  <cols>
    <col min="1" max="1" width="2.44140625" style="54" customWidth="1"/>
    <col min="2" max="2" width="31.109375" style="54" customWidth="1"/>
    <col min="3" max="4" width="15.77734375" style="54" customWidth="1"/>
    <col min="5" max="5" width="16.109375" style="54" customWidth="1"/>
    <col min="6" max="16384" width="8.88671875" style="54"/>
  </cols>
  <sheetData>
    <row r="1" spans="2:5" ht="15.75" x14ac:dyDescent="0.2">
      <c r="B1" s="112" t="str">
        <f>inputPrYr!D3</f>
        <v>Valley Falls</v>
      </c>
      <c r="C1" s="6"/>
      <c r="D1" s="6"/>
      <c r="E1" s="131">
        <f>inputPrYr!$C$6</f>
        <v>2023</v>
      </c>
    </row>
    <row r="2" spans="2:5" ht="15.75" x14ac:dyDescent="0.2">
      <c r="B2" s="6"/>
      <c r="C2" s="6"/>
      <c r="D2" s="6"/>
      <c r="E2" s="108"/>
    </row>
    <row r="3" spans="2:5" ht="15.75" x14ac:dyDescent="0.2">
      <c r="B3" s="17" t="s">
        <v>85</v>
      </c>
      <c r="C3" s="204"/>
      <c r="D3" s="204"/>
      <c r="E3" s="205"/>
    </row>
    <row r="4" spans="2:5" ht="15.75" x14ac:dyDescent="0.2">
      <c r="B4" s="9" t="s">
        <v>20</v>
      </c>
      <c r="C4" s="539" t="s">
        <v>665</v>
      </c>
      <c r="D4" s="540" t="s">
        <v>666</v>
      </c>
      <c r="E4" s="89" t="s">
        <v>667</v>
      </c>
    </row>
    <row r="5" spans="2:5" ht="15.75" x14ac:dyDescent="0.2">
      <c r="B5" s="298">
        <f>inputPrYr!B46</f>
        <v>0</v>
      </c>
      <c r="C5" s="283" t="str">
        <f>CONCATENATE("Actual for ",E1-2,"")</f>
        <v>Actual for 2021</v>
      </c>
      <c r="D5" s="283" t="str">
        <f>CONCATENATE("Estimate for ",E1-1,"")</f>
        <v>Estimate for 2022</v>
      </c>
      <c r="E5" s="166" t="str">
        <f>CONCATENATE("Year for ",E1,"")</f>
        <v>Year for 2023</v>
      </c>
    </row>
    <row r="6" spans="2:5" ht="15.75" x14ac:dyDescent="0.2">
      <c r="B6" s="95" t="s">
        <v>99</v>
      </c>
      <c r="C6" s="26"/>
      <c r="D6" s="139">
        <f>C45</f>
        <v>0</v>
      </c>
      <c r="E6" s="139">
        <f>D45</f>
        <v>0</v>
      </c>
    </row>
    <row r="7" spans="2:5" ht="15.75" x14ac:dyDescent="0.2">
      <c r="B7" s="95" t="s">
        <v>101</v>
      </c>
      <c r="C7" s="41"/>
      <c r="D7" s="41"/>
      <c r="E7" s="41"/>
    </row>
    <row r="8" spans="2:5" ht="15.75" x14ac:dyDescent="0.2">
      <c r="B8" s="202"/>
      <c r="C8" s="174"/>
      <c r="D8" s="174"/>
      <c r="E8" s="174"/>
    </row>
    <row r="9" spans="2:5" ht="15.75" x14ac:dyDescent="0.2">
      <c r="B9" s="180"/>
      <c r="C9" s="174"/>
      <c r="D9" s="174"/>
      <c r="E9" s="174"/>
    </row>
    <row r="10" spans="2:5" ht="15.75" x14ac:dyDescent="0.2">
      <c r="B10" s="180"/>
      <c r="C10" s="174"/>
      <c r="D10" s="174"/>
      <c r="E10" s="174"/>
    </row>
    <row r="11" spans="2:5" ht="15.75" x14ac:dyDescent="0.2">
      <c r="B11" s="180"/>
      <c r="C11" s="174"/>
      <c r="D11" s="174"/>
      <c r="E11" s="174"/>
    </row>
    <row r="12" spans="2:5" ht="15.75" x14ac:dyDescent="0.2">
      <c r="B12" s="180"/>
      <c r="C12" s="174"/>
      <c r="D12" s="174"/>
      <c r="E12" s="174"/>
    </row>
    <row r="13" spans="2:5" ht="15.75" x14ac:dyDescent="0.2">
      <c r="B13" s="180"/>
      <c r="C13" s="174"/>
      <c r="D13" s="174"/>
      <c r="E13" s="174"/>
    </row>
    <row r="14" spans="2:5" ht="15.75" x14ac:dyDescent="0.2">
      <c r="B14" s="201"/>
      <c r="C14" s="59"/>
      <c r="D14" s="59"/>
      <c r="E14" s="59"/>
    </row>
    <row r="15" spans="2:5" ht="15.75" x14ac:dyDescent="0.2">
      <c r="B15" s="180"/>
      <c r="C15" s="174"/>
      <c r="D15" s="174"/>
      <c r="E15" s="174"/>
    </row>
    <row r="16" spans="2:5" ht="15.75" x14ac:dyDescent="0.2">
      <c r="B16" s="206" t="s">
        <v>26</v>
      </c>
      <c r="C16" s="174"/>
      <c r="D16" s="174"/>
      <c r="E16" s="174"/>
    </row>
    <row r="17" spans="2:5" ht="15.75" x14ac:dyDescent="0.2">
      <c r="B17" s="103" t="s">
        <v>192</v>
      </c>
      <c r="C17" s="174"/>
      <c r="D17" s="172"/>
      <c r="E17" s="172"/>
    </row>
    <row r="18" spans="2:5" ht="15.75" x14ac:dyDescent="0.2">
      <c r="B18" s="167" t="s">
        <v>654</v>
      </c>
      <c r="C18" s="299" t="str">
        <f>IF(C19*0.1&lt;C17,"Exceed 10% Rule","")</f>
        <v/>
      </c>
      <c r="D18" s="194" t="str">
        <f>IF(D19*0.1&lt;D17,"Exceed 10% Rule","")</f>
        <v/>
      </c>
      <c r="E18" s="194" t="str">
        <f>IF(E19*0.1&lt;E17,"Exceed 10% Rule","")</f>
        <v/>
      </c>
    </row>
    <row r="19" spans="2:5" ht="15.75" x14ac:dyDescent="0.2">
      <c r="B19" s="177" t="s">
        <v>27</v>
      </c>
      <c r="C19" s="198">
        <f>SUM(C8:C17)</f>
        <v>0</v>
      </c>
      <c r="D19" s="198">
        <f>SUM(D8:D17)</f>
        <v>0</v>
      </c>
      <c r="E19" s="198">
        <f>SUM(E8:E17)</f>
        <v>0</v>
      </c>
    </row>
    <row r="20" spans="2:5" ht="15.75" x14ac:dyDescent="0.2">
      <c r="B20" s="177" t="s">
        <v>28</v>
      </c>
      <c r="C20" s="198">
        <f>C6+C19</f>
        <v>0</v>
      </c>
      <c r="D20" s="198">
        <f>D6+D19</f>
        <v>0</v>
      </c>
      <c r="E20" s="198">
        <f>E6+E19</f>
        <v>0</v>
      </c>
    </row>
    <row r="21" spans="2:5" ht="15.75" x14ac:dyDescent="0.2">
      <c r="B21" s="95" t="s">
        <v>30</v>
      </c>
      <c r="C21" s="41"/>
      <c r="D21" s="41"/>
      <c r="E21" s="41"/>
    </row>
    <row r="22" spans="2:5" ht="15.75" x14ac:dyDescent="0.2">
      <c r="B22" s="180" t="s">
        <v>125</v>
      </c>
      <c r="C22" s="174"/>
      <c r="D22" s="174"/>
      <c r="E22" s="174"/>
    </row>
    <row r="23" spans="2:5" ht="15.75" x14ac:dyDescent="0.2">
      <c r="B23" s="180" t="s">
        <v>195</v>
      </c>
      <c r="C23" s="174"/>
      <c r="D23" s="174"/>
      <c r="E23" s="174"/>
    </row>
    <row r="24" spans="2:5" ht="15.75" x14ac:dyDescent="0.2">
      <c r="B24" s="180"/>
      <c r="C24" s="59"/>
      <c r="D24" s="59"/>
      <c r="E24" s="59"/>
    </row>
    <row r="25" spans="2:5" ht="15.75" x14ac:dyDescent="0.2">
      <c r="B25" s="180"/>
      <c r="C25" s="59"/>
      <c r="D25" s="59"/>
      <c r="E25" s="59"/>
    </row>
    <row r="26" spans="2:5" ht="15.75" x14ac:dyDescent="0.2">
      <c r="B26" s="180"/>
      <c r="C26" s="59"/>
      <c r="D26" s="59"/>
      <c r="E26" s="59"/>
    </row>
    <row r="27" spans="2:5" ht="15.75" x14ac:dyDescent="0.2">
      <c r="B27" s="180"/>
      <c r="C27" s="59"/>
      <c r="D27" s="59"/>
      <c r="E27" s="59"/>
    </row>
    <row r="28" spans="2:5" ht="15.75" x14ac:dyDescent="0.2">
      <c r="B28" s="180"/>
      <c r="C28" s="59"/>
      <c r="D28" s="59"/>
      <c r="E28" s="59"/>
    </row>
    <row r="29" spans="2:5" ht="15.75" x14ac:dyDescent="0.2">
      <c r="B29" s="180"/>
      <c r="C29" s="59"/>
      <c r="D29" s="59"/>
      <c r="E29" s="59"/>
    </row>
    <row r="30" spans="2:5" ht="15.75" x14ac:dyDescent="0.2">
      <c r="B30" s="180"/>
      <c r="C30" s="59"/>
      <c r="D30" s="59"/>
      <c r="E30" s="59"/>
    </row>
    <row r="31" spans="2:5" ht="15.75" x14ac:dyDescent="0.2">
      <c r="B31" s="180"/>
      <c r="C31" s="59"/>
      <c r="D31" s="59"/>
      <c r="E31" s="59"/>
    </row>
    <row r="32" spans="2:5" ht="15.75" x14ac:dyDescent="0.2">
      <c r="B32" s="180"/>
      <c r="C32" s="174"/>
      <c r="D32" s="174"/>
      <c r="E32" s="174"/>
    </row>
    <row r="33" spans="2:5" ht="15.75" x14ac:dyDescent="0.2">
      <c r="B33" s="180"/>
      <c r="C33" s="174"/>
      <c r="D33" s="174"/>
      <c r="E33" s="174"/>
    </row>
    <row r="34" spans="2:5" ht="15.75" x14ac:dyDescent="0.2">
      <c r="B34" s="180"/>
      <c r="C34" s="174"/>
      <c r="D34" s="174"/>
      <c r="E34" s="174"/>
    </row>
    <row r="35" spans="2:5" ht="15.75" x14ac:dyDescent="0.2">
      <c r="B35" s="180"/>
      <c r="C35" s="174"/>
      <c r="D35" s="174"/>
      <c r="E35" s="174"/>
    </row>
    <row r="36" spans="2:5" ht="15.75" x14ac:dyDescent="0.2">
      <c r="B36" s="180"/>
      <c r="C36" s="174"/>
      <c r="D36" s="174"/>
      <c r="E36" s="174"/>
    </row>
    <row r="37" spans="2:5" ht="15.75" x14ac:dyDescent="0.2">
      <c r="B37" s="180"/>
      <c r="C37" s="174"/>
      <c r="D37" s="174"/>
      <c r="E37" s="174"/>
    </row>
    <row r="38" spans="2:5" ht="15.75" x14ac:dyDescent="0.2">
      <c r="B38" s="180"/>
      <c r="C38" s="174"/>
      <c r="D38" s="174"/>
      <c r="E38" s="174"/>
    </row>
    <row r="39" spans="2:5" ht="15.75" x14ac:dyDescent="0.2">
      <c r="B39" s="180"/>
      <c r="C39" s="174"/>
      <c r="D39" s="174"/>
      <c r="E39" s="174"/>
    </row>
    <row r="40" spans="2:5" ht="15.75" x14ac:dyDescent="0.2">
      <c r="B40" s="180"/>
      <c r="C40" s="174"/>
      <c r="D40" s="174"/>
      <c r="E40" s="174"/>
    </row>
    <row r="41" spans="2:5" ht="15.75" x14ac:dyDescent="0.2">
      <c r="B41" s="181" t="str">
        <f>CONCATENATE("Cash Forward (",E1," column)")</f>
        <v>Cash Forward (2023 column)</v>
      </c>
      <c r="C41" s="174"/>
      <c r="D41" s="174"/>
      <c r="E41" s="174"/>
    </row>
    <row r="42" spans="2:5" ht="15.75" x14ac:dyDescent="0.2">
      <c r="B42" s="181" t="s">
        <v>192</v>
      </c>
      <c r="C42" s="174"/>
      <c r="D42" s="172"/>
      <c r="E42" s="172"/>
    </row>
    <row r="43" spans="2:5" ht="15.75" x14ac:dyDescent="0.2">
      <c r="B43" s="181" t="s">
        <v>655</v>
      </c>
      <c r="C43" s="299" t="str">
        <f>IF(C44*0.1&lt;C42,"Exceed 10% Rule","")</f>
        <v/>
      </c>
      <c r="D43" s="194" t="str">
        <f>IF(D44*0.1&lt;D42,"Exceed 10% Rule","")</f>
        <v/>
      </c>
      <c r="E43" s="194" t="str">
        <f>IF(E44*0.1&lt;E42,"Exceed 10% Rule","")</f>
        <v/>
      </c>
    </row>
    <row r="44" spans="2:5" ht="15.75" x14ac:dyDescent="0.2">
      <c r="B44" s="177" t="s">
        <v>34</v>
      </c>
      <c r="C44" s="198">
        <f>SUM(C22:C42)</f>
        <v>0</v>
      </c>
      <c r="D44" s="198">
        <f>SUM(D22:D42)</f>
        <v>0</v>
      </c>
      <c r="E44" s="198">
        <f>SUM(E22:E42)</f>
        <v>0</v>
      </c>
    </row>
    <row r="45" spans="2:5" ht="15.75" x14ac:dyDescent="0.2">
      <c r="B45" s="95" t="s">
        <v>100</v>
      </c>
      <c r="C45" s="139">
        <f>C20-C44</f>
        <v>0</v>
      </c>
      <c r="D45" s="139">
        <f>D20-D44</f>
        <v>0</v>
      </c>
      <c r="E45" s="139">
        <f>E20-E44</f>
        <v>0</v>
      </c>
    </row>
    <row r="46" spans="2:5" ht="15.75" x14ac:dyDescent="0.2">
      <c r="B46" s="110" t="str">
        <f>CONCATENATE("",E1-2,"/",E1-1,"/",E1," Budget Authority Amount:")</f>
        <v>2021/2022/2023 Budget Authority Amount:</v>
      </c>
      <c r="C46" s="428">
        <f>inputOth!B87</f>
        <v>0</v>
      </c>
      <c r="D46" s="428">
        <f>inputPrYr!D46</f>
        <v>0</v>
      </c>
      <c r="E46" s="336">
        <f>E44</f>
        <v>0</v>
      </c>
    </row>
    <row r="47" spans="2:5" ht="15.75" x14ac:dyDescent="0.2">
      <c r="B47" s="83"/>
      <c r="C47" s="184" t="str">
        <f>IF(C44&gt;C46,"See Tab A","")</f>
        <v/>
      </c>
      <c r="D47" s="184" t="str">
        <f>IF(D44&gt;D46,"See Tab C","")</f>
        <v/>
      </c>
      <c r="E47" s="594" t="str">
        <f>IF(E45&lt;0,"See Tab E","")</f>
        <v/>
      </c>
    </row>
    <row r="48" spans="2:5" ht="15.75" x14ac:dyDescent="0.2">
      <c r="B48" s="728" t="s">
        <v>839</v>
      </c>
      <c r="C48" s="701" t="str">
        <f>IF(C45&lt;0,"See Tab B","")</f>
        <v/>
      </c>
      <c r="D48" s="701" t="str">
        <f>IF(D45&lt;0,"See Tab D","")</f>
        <v/>
      </c>
      <c r="E48" s="709"/>
    </row>
    <row r="49" spans="2:5" ht="15.75" x14ac:dyDescent="0.2">
      <c r="B49" s="703"/>
      <c r="C49" s="704"/>
      <c r="D49" s="704"/>
      <c r="E49" s="710"/>
    </row>
    <row r="50" spans="2:5" ht="15.75" x14ac:dyDescent="0.2">
      <c r="B50" s="705"/>
      <c r="C50" s="706"/>
      <c r="D50" s="706"/>
      <c r="E50" s="711"/>
    </row>
    <row r="51" spans="2:5" x14ac:dyDescent="0.2">
      <c r="B51" s="56"/>
      <c r="C51" s="56"/>
      <c r="D51" s="56"/>
      <c r="E51" s="56"/>
    </row>
    <row r="52" spans="2:5" ht="15.75" x14ac:dyDescent="0.2">
      <c r="B52" s="83" t="s">
        <v>37</v>
      </c>
      <c r="C52" s="600">
        <v>17</v>
      </c>
      <c r="D52" s="56"/>
      <c r="E52" s="56"/>
    </row>
  </sheetData>
  <sheetProtection sheet="1" objects="1" scenarios="1"/>
  <phoneticPr fontId="9" type="noConversion"/>
  <conditionalFormatting sqref="C17">
    <cfRule type="cellIs" dxfId="45" priority="3" stopIfTrue="1" operator="greaterThan">
      <formula>$C$19*0.1</formula>
    </cfRule>
  </conditionalFormatting>
  <conditionalFormatting sqref="D17">
    <cfRule type="cellIs" dxfId="44" priority="4" stopIfTrue="1" operator="greaterThan">
      <formula>$D$19*0.1</formula>
    </cfRule>
  </conditionalFormatting>
  <conditionalFormatting sqref="E17">
    <cfRule type="cellIs" dxfId="43" priority="5" stopIfTrue="1" operator="greaterThan">
      <formula>$E$19*0.1</formula>
    </cfRule>
  </conditionalFormatting>
  <conditionalFormatting sqref="C42">
    <cfRule type="cellIs" dxfId="42" priority="6" stopIfTrue="1" operator="greaterThan">
      <formula>$C$44*0.1</formula>
    </cfRule>
  </conditionalFormatting>
  <conditionalFormatting sqref="D42">
    <cfRule type="cellIs" dxfId="41" priority="7" stopIfTrue="1" operator="greaterThan">
      <formula>$D$44*0.1</formula>
    </cfRule>
  </conditionalFormatting>
  <conditionalFormatting sqref="E42">
    <cfRule type="cellIs" dxfId="40" priority="8" stopIfTrue="1" operator="greaterThan">
      <formula>$E$44*0.1</formula>
    </cfRule>
  </conditionalFormatting>
  <conditionalFormatting sqref="D44">
    <cfRule type="cellIs" dxfId="39" priority="9" stopIfTrue="1" operator="greaterThan">
      <formula>$D$46</formula>
    </cfRule>
  </conditionalFormatting>
  <conditionalFormatting sqref="C44">
    <cfRule type="cellIs" dxfId="38" priority="10" stopIfTrue="1" operator="greaterThan">
      <formula>$C$46</formula>
    </cfRule>
  </conditionalFormatting>
  <conditionalFormatting sqref="C45 E45">
    <cfRule type="cellIs" dxfId="37" priority="11" stopIfTrue="1" operator="lessThan">
      <formula>0</formula>
    </cfRule>
  </conditionalFormatting>
  <conditionalFormatting sqref="D45">
    <cfRule type="cellIs" dxfId="36" priority="2" stopIfTrue="1" operator="lessThan">
      <formula>0</formula>
    </cfRule>
  </conditionalFormatting>
  <conditionalFormatting sqref="E46">
    <cfRule type="cellIs" dxfId="35" priority="1" stopIfTrue="1" operator="lessThan">
      <formula>0</formula>
    </cfRule>
  </conditionalFormatting>
  <pageMargins left="0.75" right="0.75" top="1" bottom="1" header="0.5" footer="0.5"/>
  <pageSetup scale="80" orientation="portrait" blackAndWhite="1" r:id="rId1"/>
  <headerFooter alignWithMargins="0">
    <oddHeader>&amp;RState of Kansas
City</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B0F0"/>
    <pageSetUpPr fitToPage="1"/>
  </sheetPr>
  <dimension ref="B1:E52"/>
  <sheetViews>
    <sheetView topLeftCell="A34" workbookViewId="0">
      <selection activeCell="K59" sqref="K59"/>
    </sheetView>
  </sheetViews>
  <sheetFormatPr defaultRowHeight="15" x14ac:dyDescent="0.2"/>
  <cols>
    <col min="1" max="1" width="2.44140625" style="54" customWidth="1"/>
    <col min="2" max="2" width="31.109375" style="54" customWidth="1"/>
    <col min="3" max="4" width="15.77734375" style="54" customWidth="1"/>
    <col min="5" max="5" width="16.21875" style="54" customWidth="1"/>
    <col min="6" max="16384" width="8.88671875" style="54"/>
  </cols>
  <sheetData>
    <row r="1" spans="2:5" ht="15.75" x14ac:dyDescent="0.2">
      <c r="B1" s="112" t="str">
        <f>inputPrYr!D3</f>
        <v>Valley Falls</v>
      </c>
      <c r="C1" s="6"/>
      <c r="D1" s="6"/>
      <c r="E1" s="131">
        <f>inputPrYr!$C$6</f>
        <v>2023</v>
      </c>
    </row>
    <row r="2" spans="2:5" ht="15.75" x14ac:dyDescent="0.2">
      <c r="B2" s="6"/>
      <c r="C2" s="6"/>
      <c r="D2" s="6"/>
      <c r="E2" s="108"/>
    </row>
    <row r="3" spans="2:5" ht="15.75" x14ac:dyDescent="0.2">
      <c r="B3" s="17" t="s">
        <v>85</v>
      </c>
      <c r="C3" s="204"/>
      <c r="D3" s="204"/>
      <c r="E3" s="205"/>
    </row>
    <row r="4" spans="2:5" ht="15.75" x14ac:dyDescent="0.2">
      <c r="B4" s="9" t="s">
        <v>20</v>
      </c>
      <c r="C4" s="539" t="s">
        <v>665</v>
      </c>
      <c r="D4" s="540" t="s">
        <v>666</v>
      </c>
      <c r="E4" s="89" t="s">
        <v>667</v>
      </c>
    </row>
    <row r="5" spans="2:5" ht="15.75" x14ac:dyDescent="0.2">
      <c r="B5" s="298">
        <f>inputPrYr!B47</f>
        <v>0</v>
      </c>
      <c r="C5" s="283" t="str">
        <f>CONCATENATE("Actual for ",E1-2,"")</f>
        <v>Actual for 2021</v>
      </c>
      <c r="D5" s="283" t="str">
        <f>CONCATENATE("Estimate for ",E1-1,"")</f>
        <v>Estimate for 2022</v>
      </c>
      <c r="E5" s="166" t="str">
        <f>CONCATENATE("Year for ",E1,"")</f>
        <v>Year for 2023</v>
      </c>
    </row>
    <row r="6" spans="2:5" ht="15.75" x14ac:dyDescent="0.2">
      <c r="B6" s="95" t="s">
        <v>99</v>
      </c>
      <c r="C6" s="26"/>
      <c r="D6" s="139">
        <f>C45</f>
        <v>0</v>
      </c>
      <c r="E6" s="139">
        <f>D45</f>
        <v>0</v>
      </c>
    </row>
    <row r="7" spans="2:5" ht="15.75" x14ac:dyDescent="0.2">
      <c r="B7" s="95" t="s">
        <v>101</v>
      </c>
      <c r="C7" s="41"/>
      <c r="D7" s="41"/>
      <c r="E7" s="41"/>
    </row>
    <row r="8" spans="2:5" ht="15.75" x14ac:dyDescent="0.2">
      <c r="B8" s="202"/>
      <c r="C8" s="174"/>
      <c r="D8" s="174"/>
      <c r="E8" s="174"/>
    </row>
    <row r="9" spans="2:5" ht="15.75" x14ac:dyDescent="0.2">
      <c r="B9" s="180"/>
      <c r="C9" s="174"/>
      <c r="D9" s="174"/>
      <c r="E9" s="174"/>
    </row>
    <row r="10" spans="2:5" ht="15.75" x14ac:dyDescent="0.2">
      <c r="B10" s="180"/>
      <c r="C10" s="174"/>
      <c r="D10" s="174"/>
      <c r="E10" s="174"/>
    </row>
    <row r="11" spans="2:5" ht="15.75" x14ac:dyDescent="0.2">
      <c r="B11" s="180"/>
      <c r="C11" s="174"/>
      <c r="D11" s="174"/>
      <c r="E11" s="174"/>
    </row>
    <row r="12" spans="2:5" ht="15.75" x14ac:dyDescent="0.2">
      <c r="B12" s="180"/>
      <c r="C12" s="174"/>
      <c r="D12" s="174"/>
      <c r="E12" s="174"/>
    </row>
    <row r="13" spans="2:5" ht="15.75" x14ac:dyDescent="0.2">
      <c r="B13" s="180"/>
      <c r="C13" s="174"/>
      <c r="D13" s="174"/>
      <c r="E13" s="174"/>
    </row>
    <row r="14" spans="2:5" ht="15.75" x14ac:dyDescent="0.2">
      <c r="B14" s="201"/>
      <c r="C14" s="59"/>
      <c r="D14" s="59"/>
      <c r="E14" s="59"/>
    </row>
    <row r="15" spans="2:5" ht="15.75" x14ac:dyDescent="0.2">
      <c r="B15" s="180"/>
      <c r="C15" s="174"/>
      <c r="D15" s="174"/>
      <c r="E15" s="174"/>
    </row>
    <row r="16" spans="2:5" ht="15.75" x14ac:dyDescent="0.2">
      <c r="B16" s="206" t="s">
        <v>26</v>
      </c>
      <c r="C16" s="174"/>
      <c r="D16" s="174"/>
      <c r="E16" s="174"/>
    </row>
    <row r="17" spans="2:5" ht="15.75" x14ac:dyDescent="0.2">
      <c r="B17" s="103" t="s">
        <v>192</v>
      </c>
      <c r="C17" s="174"/>
      <c r="D17" s="172"/>
      <c r="E17" s="172"/>
    </row>
    <row r="18" spans="2:5" ht="15.75" x14ac:dyDescent="0.2">
      <c r="B18" s="167" t="s">
        <v>654</v>
      </c>
      <c r="C18" s="299" t="str">
        <f>IF(C19*0.1&lt;C17,"Exceed 10% Rule","")</f>
        <v/>
      </c>
      <c r="D18" s="194" t="str">
        <f>IF(D19*0.1&lt;D17,"Exceed 10% Rule","")</f>
        <v/>
      </c>
      <c r="E18" s="194" t="str">
        <f>IF(E19*0.1&lt;E17,"Exceed 10% Rule","")</f>
        <v/>
      </c>
    </row>
    <row r="19" spans="2:5" ht="15.75" x14ac:dyDescent="0.2">
      <c r="B19" s="177" t="s">
        <v>27</v>
      </c>
      <c r="C19" s="198">
        <f>SUM(C8:C17)</f>
        <v>0</v>
      </c>
      <c r="D19" s="198">
        <f>SUM(D8:D17)</f>
        <v>0</v>
      </c>
      <c r="E19" s="198">
        <f>SUM(E8:E17)</f>
        <v>0</v>
      </c>
    </row>
    <row r="20" spans="2:5" ht="15.75" x14ac:dyDescent="0.2">
      <c r="B20" s="177" t="s">
        <v>28</v>
      </c>
      <c r="C20" s="198">
        <f>C6+C19</f>
        <v>0</v>
      </c>
      <c r="D20" s="198">
        <f>D6+D19</f>
        <v>0</v>
      </c>
      <c r="E20" s="198">
        <f>E6+E19</f>
        <v>0</v>
      </c>
    </row>
    <row r="21" spans="2:5" ht="15.75" x14ac:dyDescent="0.2">
      <c r="B21" s="95" t="s">
        <v>30</v>
      </c>
      <c r="C21" s="41"/>
      <c r="D21" s="41"/>
      <c r="E21" s="41"/>
    </row>
    <row r="22" spans="2:5" ht="15.75" x14ac:dyDescent="0.2">
      <c r="B22" s="180" t="s">
        <v>125</v>
      </c>
      <c r="C22" s="174"/>
      <c r="D22" s="174"/>
      <c r="E22" s="174"/>
    </row>
    <row r="23" spans="2:5" ht="15.75" x14ac:dyDescent="0.2">
      <c r="B23" s="180" t="s">
        <v>195</v>
      </c>
      <c r="C23" s="174"/>
      <c r="D23" s="174"/>
      <c r="E23" s="174"/>
    </row>
    <row r="24" spans="2:5" ht="15.75" x14ac:dyDescent="0.2">
      <c r="B24" s="180"/>
      <c r="C24" s="59"/>
      <c r="D24" s="59"/>
      <c r="E24" s="59"/>
    </row>
    <row r="25" spans="2:5" ht="15.75" x14ac:dyDescent="0.2">
      <c r="B25" s="180"/>
      <c r="C25" s="59"/>
      <c r="D25" s="59"/>
      <c r="E25" s="59"/>
    </row>
    <row r="26" spans="2:5" ht="15.75" x14ac:dyDescent="0.2">
      <c r="B26" s="180"/>
      <c r="C26" s="59"/>
      <c r="D26" s="59"/>
      <c r="E26" s="59"/>
    </row>
    <row r="27" spans="2:5" ht="15.75" x14ac:dyDescent="0.2">
      <c r="B27" s="180"/>
      <c r="C27" s="59"/>
      <c r="D27" s="59"/>
      <c r="E27" s="59"/>
    </row>
    <row r="28" spans="2:5" ht="15.75" x14ac:dyDescent="0.2">
      <c r="B28" s="180"/>
      <c r="C28" s="59"/>
      <c r="D28" s="59"/>
      <c r="E28" s="59"/>
    </row>
    <row r="29" spans="2:5" ht="15.75" x14ac:dyDescent="0.2">
      <c r="B29" s="180"/>
      <c r="C29" s="59"/>
      <c r="D29" s="59"/>
      <c r="E29" s="59"/>
    </row>
    <row r="30" spans="2:5" ht="15.75" x14ac:dyDescent="0.2">
      <c r="B30" s="180"/>
      <c r="C30" s="59"/>
      <c r="D30" s="59"/>
      <c r="E30" s="59"/>
    </row>
    <row r="31" spans="2:5" ht="15.75" x14ac:dyDescent="0.2">
      <c r="B31" s="180"/>
      <c r="C31" s="59"/>
      <c r="D31" s="59"/>
      <c r="E31" s="59"/>
    </row>
    <row r="32" spans="2:5" ht="15.75" x14ac:dyDescent="0.2">
      <c r="B32" s="180"/>
      <c r="C32" s="174"/>
      <c r="D32" s="174"/>
      <c r="E32" s="174"/>
    </row>
    <row r="33" spans="2:5" ht="15.75" x14ac:dyDescent="0.2">
      <c r="B33" s="180"/>
      <c r="C33" s="174"/>
      <c r="D33" s="174"/>
      <c r="E33" s="174"/>
    </row>
    <row r="34" spans="2:5" ht="15.75" x14ac:dyDescent="0.2">
      <c r="B34" s="180"/>
      <c r="C34" s="174"/>
      <c r="D34" s="174"/>
      <c r="E34" s="174"/>
    </row>
    <row r="35" spans="2:5" ht="15.75" x14ac:dyDescent="0.2">
      <c r="B35" s="180"/>
      <c r="C35" s="174"/>
      <c r="D35" s="174"/>
      <c r="E35" s="174"/>
    </row>
    <row r="36" spans="2:5" ht="15.75" x14ac:dyDescent="0.2">
      <c r="B36" s="180"/>
      <c r="C36" s="174"/>
      <c r="D36" s="174"/>
      <c r="E36" s="174"/>
    </row>
    <row r="37" spans="2:5" ht="15.75" x14ac:dyDescent="0.2">
      <c r="B37" s="180"/>
      <c r="C37" s="174"/>
      <c r="D37" s="174"/>
      <c r="E37" s="174"/>
    </row>
    <row r="38" spans="2:5" ht="15.75" x14ac:dyDescent="0.2">
      <c r="B38" s="180"/>
      <c r="C38" s="174"/>
      <c r="D38" s="174"/>
      <c r="E38" s="174"/>
    </row>
    <row r="39" spans="2:5" ht="15.75" x14ac:dyDescent="0.2">
      <c r="B39" s="180"/>
      <c r="C39" s="174"/>
      <c r="D39" s="174"/>
      <c r="E39" s="174"/>
    </row>
    <row r="40" spans="2:5" ht="15.75" x14ac:dyDescent="0.2">
      <c r="B40" s="180"/>
      <c r="C40" s="174"/>
      <c r="D40" s="174"/>
      <c r="E40" s="174"/>
    </row>
    <row r="41" spans="2:5" ht="15.75" x14ac:dyDescent="0.2">
      <c r="B41" s="181" t="str">
        <f>CONCATENATE("Cash Forward (",E1," column)")</f>
        <v>Cash Forward (2023 column)</v>
      </c>
      <c r="C41" s="174"/>
      <c r="D41" s="174"/>
      <c r="E41" s="174"/>
    </row>
    <row r="42" spans="2:5" ht="15.75" x14ac:dyDescent="0.2">
      <c r="B42" s="181" t="s">
        <v>192</v>
      </c>
      <c r="C42" s="174"/>
      <c r="D42" s="172"/>
      <c r="E42" s="172"/>
    </row>
    <row r="43" spans="2:5" ht="15.75" x14ac:dyDescent="0.2">
      <c r="B43" s="181" t="s">
        <v>655</v>
      </c>
      <c r="C43" s="299" t="str">
        <f>IF(C44*0.1&lt;C42,"Exceed 10% Rule","")</f>
        <v/>
      </c>
      <c r="D43" s="194" t="str">
        <f>IF(D44*0.1&lt;D42,"Exceed 10% Rule","")</f>
        <v/>
      </c>
      <c r="E43" s="194" t="str">
        <f>IF(E44*0.1&lt;E42,"Exceed 10% Rule","")</f>
        <v/>
      </c>
    </row>
    <row r="44" spans="2:5" ht="15.75" x14ac:dyDescent="0.2">
      <c r="B44" s="177" t="s">
        <v>34</v>
      </c>
      <c r="C44" s="198">
        <f>SUM(C22:C42)</f>
        <v>0</v>
      </c>
      <c r="D44" s="198">
        <f>SUM(D22:D42)</f>
        <v>0</v>
      </c>
      <c r="E44" s="198">
        <f>SUM(E22:E42)</f>
        <v>0</v>
      </c>
    </row>
    <row r="45" spans="2:5" ht="15.75" x14ac:dyDescent="0.2">
      <c r="B45" s="95" t="s">
        <v>100</v>
      </c>
      <c r="C45" s="139">
        <f>C20-C44</f>
        <v>0</v>
      </c>
      <c r="D45" s="139">
        <f>D20-D44</f>
        <v>0</v>
      </c>
      <c r="E45" s="139">
        <f>E20-E44</f>
        <v>0</v>
      </c>
    </row>
    <row r="46" spans="2:5" ht="15.75" x14ac:dyDescent="0.2">
      <c r="B46" s="110" t="str">
        <f>CONCATENATE("",E1-2,"/",E1-1,"/",E1," Budget Authority Amount:")</f>
        <v>2021/2022/2023 Budget Authority Amount:</v>
      </c>
      <c r="C46" s="428">
        <f>inputOth!B88</f>
        <v>0</v>
      </c>
      <c r="D46" s="428">
        <f>inputPrYr!D47</f>
        <v>0</v>
      </c>
      <c r="E46" s="336">
        <f>E44</f>
        <v>0</v>
      </c>
    </row>
    <row r="47" spans="2:5" ht="15.75" x14ac:dyDescent="0.2">
      <c r="B47" s="83"/>
      <c r="C47" s="184" t="str">
        <f>IF(C44&gt;C46,"See Tab A","")</f>
        <v/>
      </c>
      <c r="D47" s="184" t="str">
        <f>IF(D44&gt;D46,"See Tab C","")</f>
        <v/>
      </c>
      <c r="E47" s="594" t="str">
        <f>IF(E45&lt;0,"See Tab E","")</f>
        <v/>
      </c>
    </row>
    <row r="48" spans="2:5" ht="15.75" x14ac:dyDescent="0.2">
      <c r="B48" s="728" t="s">
        <v>839</v>
      </c>
      <c r="C48" s="701" t="str">
        <f>IF(C45&lt;0,"See Tab B","")</f>
        <v/>
      </c>
      <c r="D48" s="701" t="str">
        <f>IF(D45&lt;0,"See Tab D","")</f>
        <v/>
      </c>
      <c r="E48" s="709"/>
    </row>
    <row r="49" spans="2:5" ht="15.75" x14ac:dyDescent="0.2">
      <c r="B49" s="703"/>
      <c r="C49" s="704"/>
      <c r="D49" s="704"/>
      <c r="E49" s="710"/>
    </row>
    <row r="50" spans="2:5" ht="15.75" x14ac:dyDescent="0.2">
      <c r="B50" s="705"/>
      <c r="C50" s="706"/>
      <c r="D50" s="706"/>
      <c r="E50" s="711"/>
    </row>
    <row r="51" spans="2:5" x14ac:dyDescent="0.2">
      <c r="B51" s="56"/>
      <c r="C51" s="56"/>
      <c r="D51" s="56"/>
      <c r="E51" s="56"/>
    </row>
    <row r="52" spans="2:5" ht="15.75" x14ac:dyDescent="0.2">
      <c r="B52" s="83" t="s">
        <v>37</v>
      </c>
      <c r="C52" s="600">
        <v>18</v>
      </c>
      <c r="D52" s="56"/>
      <c r="E52" s="56"/>
    </row>
  </sheetData>
  <sheetProtection sheet="1" objects="1" scenarios="1"/>
  <phoneticPr fontId="9" type="noConversion"/>
  <conditionalFormatting sqref="C17">
    <cfRule type="cellIs" dxfId="34" priority="3" stopIfTrue="1" operator="greaterThan">
      <formula>$C$19*0.1</formula>
    </cfRule>
  </conditionalFormatting>
  <conditionalFormatting sqref="D17">
    <cfRule type="cellIs" dxfId="33" priority="4" stopIfTrue="1" operator="greaterThan">
      <formula>$D$19*0.1</formula>
    </cfRule>
  </conditionalFormatting>
  <conditionalFormatting sqref="E17">
    <cfRule type="cellIs" dxfId="32" priority="5" stopIfTrue="1" operator="greaterThan">
      <formula>$E$19*0.1</formula>
    </cfRule>
  </conditionalFormatting>
  <conditionalFormatting sqref="C42">
    <cfRule type="cellIs" dxfId="31" priority="6" stopIfTrue="1" operator="greaterThan">
      <formula>$C$44*0.1</formula>
    </cfRule>
  </conditionalFormatting>
  <conditionalFormatting sqref="D42">
    <cfRule type="cellIs" dxfId="30" priority="7" stopIfTrue="1" operator="greaterThan">
      <formula>$D$44*0.1</formula>
    </cfRule>
  </conditionalFormatting>
  <conditionalFormatting sqref="E42">
    <cfRule type="cellIs" dxfId="29" priority="8" stopIfTrue="1" operator="greaterThan">
      <formula>$E$44*0.1</formula>
    </cfRule>
  </conditionalFormatting>
  <conditionalFormatting sqref="D44">
    <cfRule type="cellIs" dxfId="28" priority="9" stopIfTrue="1" operator="greaterThan">
      <formula>$D$46</formula>
    </cfRule>
  </conditionalFormatting>
  <conditionalFormatting sqref="C44">
    <cfRule type="cellIs" dxfId="27" priority="10" stopIfTrue="1" operator="greaterThan">
      <formula>$C$46</formula>
    </cfRule>
  </conditionalFormatting>
  <conditionalFormatting sqref="C45 E45">
    <cfRule type="cellIs" dxfId="26" priority="11" stopIfTrue="1" operator="lessThan">
      <formula>0</formula>
    </cfRule>
  </conditionalFormatting>
  <conditionalFormatting sqref="D45">
    <cfRule type="cellIs" dxfId="25" priority="2" stopIfTrue="1" operator="lessThan">
      <formula>0</formula>
    </cfRule>
  </conditionalFormatting>
  <conditionalFormatting sqref="E46">
    <cfRule type="cellIs" dxfId="24" priority="1" stopIfTrue="1" operator="lessThan">
      <formula>0</formula>
    </cfRule>
  </conditionalFormatting>
  <pageMargins left="0.75" right="0.75" top="1" bottom="1" header="0.5" footer="0.5"/>
  <pageSetup scale="80" orientation="portrait" blackAndWhite="1" r:id="rId1"/>
  <headerFooter alignWithMargins="0">
    <oddHeader>&amp;RState of Kansas
City</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tabColor rgb="FF00B0F0"/>
    <pageSetUpPr fitToPage="1"/>
  </sheetPr>
  <dimension ref="B1:E53"/>
  <sheetViews>
    <sheetView topLeftCell="A22" workbookViewId="0">
      <selection activeCell="M52" sqref="M52"/>
    </sheetView>
  </sheetViews>
  <sheetFormatPr defaultRowHeight="15" x14ac:dyDescent="0.2"/>
  <cols>
    <col min="1" max="1" width="2.44140625" style="54" customWidth="1"/>
    <col min="2" max="2" width="31.109375" style="54" customWidth="1"/>
    <col min="3" max="4" width="15.77734375" style="54" customWidth="1"/>
    <col min="5" max="5" width="16.44140625" style="54" customWidth="1"/>
    <col min="6" max="16384" width="8.88671875" style="54"/>
  </cols>
  <sheetData>
    <row r="1" spans="2:5" ht="15.75" x14ac:dyDescent="0.2">
      <c r="B1" s="112" t="str">
        <f>inputPrYr!D3</f>
        <v>Valley Falls</v>
      </c>
      <c r="C1" s="6"/>
      <c r="D1" s="6"/>
      <c r="E1" s="131">
        <f>inputPrYr!$C$6</f>
        <v>2023</v>
      </c>
    </row>
    <row r="2" spans="2:5" ht="15.75" x14ac:dyDescent="0.2">
      <c r="B2" s="6"/>
      <c r="C2" s="6"/>
      <c r="D2" s="6"/>
      <c r="E2" s="108"/>
    </row>
    <row r="3" spans="2:5" ht="15.75" x14ac:dyDescent="0.2">
      <c r="B3" s="17" t="s">
        <v>85</v>
      </c>
      <c r="C3" s="204"/>
      <c r="D3" s="204"/>
      <c r="E3" s="205"/>
    </row>
    <row r="4" spans="2:5" ht="15.75" x14ac:dyDescent="0.2">
      <c r="B4" s="9" t="s">
        <v>20</v>
      </c>
      <c r="C4" s="539" t="s">
        <v>665</v>
      </c>
      <c r="D4" s="540" t="s">
        <v>666</v>
      </c>
      <c r="E4" s="89" t="s">
        <v>667</v>
      </c>
    </row>
    <row r="5" spans="2:5" ht="15.75" x14ac:dyDescent="0.2">
      <c r="B5" s="298">
        <f>inputPrYr!B48</f>
        <v>0</v>
      </c>
      <c r="C5" s="283" t="str">
        <f>CONCATENATE("Actual for ",E1-2,"")</f>
        <v>Actual for 2021</v>
      </c>
      <c r="D5" s="283" t="str">
        <f>CONCATENATE("Estimate for ",E1-1,"")</f>
        <v>Estimate for 2022</v>
      </c>
      <c r="E5" s="166" t="str">
        <f>CONCATENATE("Year for ",E1,"")</f>
        <v>Year for 2023</v>
      </c>
    </row>
    <row r="6" spans="2:5" ht="15.75" x14ac:dyDescent="0.2">
      <c r="B6" s="95" t="s">
        <v>99</v>
      </c>
      <c r="C6" s="26"/>
      <c r="D6" s="139">
        <f>C46</f>
        <v>0</v>
      </c>
      <c r="E6" s="139">
        <f>D46</f>
        <v>0</v>
      </c>
    </row>
    <row r="7" spans="2:5" ht="15.75" x14ac:dyDescent="0.2">
      <c r="B7" s="95" t="s">
        <v>101</v>
      </c>
      <c r="C7" s="41"/>
      <c r="D7" s="41"/>
      <c r="E7" s="41"/>
    </row>
    <row r="8" spans="2:5" ht="15.75" x14ac:dyDescent="0.2">
      <c r="B8" s="202"/>
      <c r="C8" s="174"/>
      <c r="D8" s="174"/>
      <c r="E8" s="174"/>
    </row>
    <row r="9" spans="2:5" ht="15.75" x14ac:dyDescent="0.2">
      <c r="B9" s="180"/>
      <c r="C9" s="174"/>
      <c r="D9" s="174"/>
      <c r="E9" s="174"/>
    </row>
    <row r="10" spans="2:5" ht="15.75" x14ac:dyDescent="0.2">
      <c r="B10" s="180"/>
      <c r="C10" s="174"/>
      <c r="D10" s="174"/>
      <c r="E10" s="174"/>
    </row>
    <row r="11" spans="2:5" ht="15.75" x14ac:dyDescent="0.2">
      <c r="B11" s="180"/>
      <c r="C11" s="174"/>
      <c r="D11" s="174"/>
      <c r="E11" s="174"/>
    </row>
    <row r="12" spans="2:5" ht="15.75" x14ac:dyDescent="0.2">
      <c r="B12" s="180"/>
      <c r="C12" s="174"/>
      <c r="D12" s="174"/>
      <c r="E12" s="174"/>
    </row>
    <row r="13" spans="2:5" ht="15.75" x14ac:dyDescent="0.2">
      <c r="B13" s="180"/>
      <c r="C13" s="174"/>
      <c r="D13" s="174"/>
      <c r="E13" s="174"/>
    </row>
    <row r="14" spans="2:5" ht="15.75" x14ac:dyDescent="0.2">
      <c r="B14" s="201"/>
      <c r="C14" s="59"/>
      <c r="D14" s="59"/>
      <c r="E14" s="59"/>
    </row>
    <row r="15" spans="2:5" ht="15.75" x14ac:dyDescent="0.2">
      <c r="B15" s="180"/>
      <c r="C15" s="174"/>
      <c r="D15" s="174"/>
      <c r="E15" s="174"/>
    </row>
    <row r="16" spans="2:5" ht="15.75" x14ac:dyDescent="0.2">
      <c r="B16" s="206" t="s">
        <v>26</v>
      </c>
      <c r="C16" s="174"/>
      <c r="D16" s="174"/>
      <c r="E16" s="174"/>
    </row>
    <row r="17" spans="2:5" ht="15.75" x14ac:dyDescent="0.2">
      <c r="B17" s="103" t="s">
        <v>192</v>
      </c>
      <c r="C17" s="174"/>
      <c r="D17" s="172"/>
      <c r="E17" s="172"/>
    </row>
    <row r="18" spans="2:5" ht="15.75" x14ac:dyDescent="0.2">
      <c r="B18" s="167" t="s">
        <v>654</v>
      </c>
      <c r="C18" s="299" t="str">
        <f>IF(C19*0.1&lt;C17,"Exceed 10% Rule","")</f>
        <v/>
      </c>
      <c r="D18" s="194" t="str">
        <f>IF(D19*0.1&lt;D17,"Exceed 10% Rule","")</f>
        <v/>
      </c>
      <c r="E18" s="194" t="str">
        <f>IF(E19*0.1&lt;E17,"Exceed 10% Rule","")</f>
        <v/>
      </c>
    </row>
    <row r="19" spans="2:5" ht="15.75" x14ac:dyDescent="0.2">
      <c r="B19" s="177" t="s">
        <v>27</v>
      </c>
      <c r="C19" s="198">
        <f>SUM(C8:C17)</f>
        <v>0</v>
      </c>
      <c r="D19" s="198">
        <f>SUM(D8:D17)</f>
        <v>0</v>
      </c>
      <c r="E19" s="198">
        <f>SUM(E8:E17)</f>
        <v>0</v>
      </c>
    </row>
    <row r="20" spans="2:5" ht="15.75" x14ac:dyDescent="0.2">
      <c r="B20" s="177" t="s">
        <v>28</v>
      </c>
      <c r="C20" s="198">
        <f>C6+C19</f>
        <v>0</v>
      </c>
      <c r="D20" s="198">
        <f>D6+D19</f>
        <v>0</v>
      </c>
      <c r="E20" s="198">
        <f>E6+E19</f>
        <v>0</v>
      </c>
    </row>
    <row r="21" spans="2:5" ht="15.75" x14ac:dyDescent="0.2">
      <c r="B21" s="95" t="s">
        <v>30</v>
      </c>
      <c r="C21" s="41"/>
      <c r="D21" s="41"/>
      <c r="E21" s="41"/>
    </row>
    <row r="22" spans="2:5" ht="15.75" x14ac:dyDescent="0.2">
      <c r="B22" s="180" t="s">
        <v>125</v>
      </c>
      <c r="C22" s="174"/>
      <c r="D22" s="174"/>
      <c r="E22" s="174"/>
    </row>
    <row r="23" spans="2:5" ht="15.75" x14ac:dyDescent="0.2">
      <c r="B23" s="180" t="s">
        <v>195</v>
      </c>
      <c r="C23" s="174"/>
      <c r="D23" s="174"/>
      <c r="E23" s="174"/>
    </row>
    <row r="24" spans="2:5" ht="15.75" x14ac:dyDescent="0.2">
      <c r="B24" s="180"/>
      <c r="C24" s="59"/>
      <c r="D24" s="59"/>
      <c r="E24" s="59"/>
    </row>
    <row r="25" spans="2:5" ht="15.75" x14ac:dyDescent="0.2">
      <c r="B25" s="180"/>
      <c r="C25" s="59"/>
      <c r="D25" s="59"/>
      <c r="E25" s="59"/>
    </row>
    <row r="26" spans="2:5" ht="15.75" x14ac:dyDescent="0.2">
      <c r="B26" s="180"/>
      <c r="C26" s="59"/>
      <c r="D26" s="59"/>
      <c r="E26" s="59"/>
    </row>
    <row r="27" spans="2:5" ht="15.75" x14ac:dyDescent="0.2">
      <c r="B27" s="180"/>
      <c r="C27" s="59"/>
      <c r="D27" s="59"/>
      <c r="E27" s="59"/>
    </row>
    <row r="28" spans="2:5" ht="15.75" x14ac:dyDescent="0.2">
      <c r="B28" s="180"/>
      <c r="C28" s="59"/>
      <c r="D28" s="59"/>
      <c r="E28" s="59"/>
    </row>
    <row r="29" spans="2:5" ht="15.75" x14ac:dyDescent="0.2">
      <c r="B29" s="180"/>
      <c r="C29" s="59"/>
      <c r="D29" s="59"/>
      <c r="E29" s="59"/>
    </row>
    <row r="30" spans="2:5" ht="15.75" x14ac:dyDescent="0.2">
      <c r="B30" s="180"/>
      <c r="C30" s="59"/>
      <c r="D30" s="59"/>
      <c r="E30" s="59"/>
    </row>
    <row r="31" spans="2:5" ht="15.75" x14ac:dyDescent="0.2">
      <c r="B31" s="180"/>
      <c r="C31" s="59"/>
      <c r="D31" s="59"/>
      <c r="E31" s="59"/>
    </row>
    <row r="32" spans="2:5" ht="15.75" x14ac:dyDescent="0.2">
      <c r="B32" s="180"/>
      <c r="C32" s="59"/>
      <c r="D32" s="59"/>
      <c r="E32" s="59"/>
    </row>
    <row r="33" spans="2:5" ht="15.75" x14ac:dyDescent="0.2">
      <c r="B33" s="180"/>
      <c r="C33" s="174"/>
      <c r="D33" s="174"/>
      <c r="E33" s="174"/>
    </row>
    <row r="34" spans="2:5" ht="15.75" x14ac:dyDescent="0.2">
      <c r="B34" s="180"/>
      <c r="C34" s="174"/>
      <c r="D34" s="174"/>
      <c r="E34" s="174"/>
    </row>
    <row r="35" spans="2:5" ht="15.75" x14ac:dyDescent="0.2">
      <c r="B35" s="180"/>
      <c r="C35" s="174"/>
      <c r="D35" s="174"/>
      <c r="E35" s="174"/>
    </row>
    <row r="36" spans="2:5" ht="15.75" x14ac:dyDescent="0.2">
      <c r="B36" s="180"/>
      <c r="C36" s="174"/>
      <c r="D36" s="174"/>
      <c r="E36" s="174"/>
    </row>
    <row r="37" spans="2:5" ht="15.75" x14ac:dyDescent="0.2">
      <c r="B37" s="180"/>
      <c r="C37" s="174"/>
      <c r="D37" s="174"/>
      <c r="E37" s="174"/>
    </row>
    <row r="38" spans="2:5" ht="15.75" x14ac:dyDescent="0.2">
      <c r="B38" s="180"/>
      <c r="C38" s="174"/>
      <c r="D38" s="174"/>
      <c r="E38" s="174"/>
    </row>
    <row r="39" spans="2:5" ht="15.75" x14ac:dyDescent="0.2">
      <c r="B39" s="180"/>
      <c r="C39" s="174"/>
      <c r="D39" s="174"/>
      <c r="E39" s="174"/>
    </row>
    <row r="40" spans="2:5" ht="15.75" x14ac:dyDescent="0.2">
      <c r="B40" s="180"/>
      <c r="C40" s="174"/>
      <c r="D40" s="174"/>
      <c r="E40" s="174"/>
    </row>
    <row r="41" spans="2:5" ht="15.75" x14ac:dyDescent="0.2">
      <c r="B41" s="180"/>
      <c r="C41" s="174"/>
      <c r="D41" s="174"/>
      <c r="E41" s="174"/>
    </row>
    <row r="42" spans="2:5" ht="15.75" x14ac:dyDescent="0.2">
      <c r="B42" s="181" t="str">
        <f>CONCATENATE("Cash Forward (",E1," column)")</f>
        <v>Cash Forward (2023 column)</v>
      </c>
      <c r="C42" s="174"/>
      <c r="D42" s="174"/>
      <c r="E42" s="174"/>
    </row>
    <row r="43" spans="2:5" ht="15.75" x14ac:dyDescent="0.2">
      <c r="B43" s="181" t="s">
        <v>192</v>
      </c>
      <c r="C43" s="174"/>
      <c r="D43" s="172"/>
      <c r="E43" s="172"/>
    </row>
    <row r="44" spans="2:5" ht="15.75" x14ac:dyDescent="0.2">
      <c r="B44" s="181" t="s">
        <v>655</v>
      </c>
      <c r="C44" s="299" t="str">
        <f>IF(C45*0.1&lt;C43,"Exceed 10% Rule","")</f>
        <v/>
      </c>
      <c r="D44" s="194" t="str">
        <f>IF(D45*0.1&lt;D43,"Exceed 10% Rule","")</f>
        <v/>
      </c>
      <c r="E44" s="194" t="str">
        <f>IF(E45*0.1&lt;E43,"Exceed 10% Rule","")</f>
        <v/>
      </c>
    </row>
    <row r="45" spans="2:5" ht="15.75" x14ac:dyDescent="0.2">
      <c r="B45" s="177" t="s">
        <v>34</v>
      </c>
      <c r="C45" s="198">
        <f>SUM(C22:C43)</f>
        <v>0</v>
      </c>
      <c r="D45" s="198">
        <f>SUM(D22:D43)</f>
        <v>0</v>
      </c>
      <c r="E45" s="198">
        <f>SUM(E22:E43)</f>
        <v>0</v>
      </c>
    </row>
    <row r="46" spans="2:5" ht="15.75" x14ac:dyDescent="0.2">
      <c r="B46" s="95" t="s">
        <v>100</v>
      </c>
      <c r="C46" s="139">
        <f>C20-C45</f>
        <v>0</v>
      </c>
      <c r="D46" s="139">
        <f>D20-D45</f>
        <v>0</v>
      </c>
      <c r="E46" s="139">
        <f>E20-E45</f>
        <v>0</v>
      </c>
    </row>
    <row r="47" spans="2:5" ht="15.75" x14ac:dyDescent="0.2">
      <c r="B47" s="110" t="str">
        <f>CONCATENATE("",E1-2,"/",E1-1,"/",E1," Budget Authority Amount:")</f>
        <v>2021/2022/2023 Budget Authority Amount:</v>
      </c>
      <c r="C47" s="428">
        <f>inputOth!B89</f>
        <v>0</v>
      </c>
      <c r="D47" s="428">
        <f>inputPrYr!D48</f>
        <v>0</v>
      </c>
      <c r="E47" s="336">
        <f>E45</f>
        <v>0</v>
      </c>
    </row>
    <row r="48" spans="2:5" ht="15.75" x14ac:dyDescent="0.2">
      <c r="B48" s="83"/>
      <c r="C48" s="184" t="str">
        <f>IF(C45&gt;C47,"See Tab A","")</f>
        <v/>
      </c>
      <c r="D48" s="184" t="str">
        <f>IF(D45&gt;D47,"See Tab C","")</f>
        <v/>
      </c>
      <c r="E48" s="594" t="str">
        <f>IF(E46&lt;0,"See Tab E","")</f>
        <v/>
      </c>
    </row>
    <row r="49" spans="2:5" ht="15.75" x14ac:dyDescent="0.2">
      <c r="B49" s="728" t="s">
        <v>839</v>
      </c>
      <c r="C49" s="701"/>
      <c r="D49" s="701"/>
      <c r="E49" s="702"/>
    </row>
    <row r="50" spans="2:5" ht="15.75" x14ac:dyDescent="0.2">
      <c r="B50" s="703"/>
      <c r="C50" s="704" t="str">
        <f>IF(C46&lt;0,"See Tab B","")</f>
        <v/>
      </c>
      <c r="D50" s="704" t="str">
        <f>IF(D46&lt;0,"See Tab D","")</f>
        <v/>
      </c>
      <c r="E50" s="712"/>
    </row>
    <row r="51" spans="2:5" ht="15.75" x14ac:dyDescent="0.2">
      <c r="B51" s="705"/>
      <c r="C51" s="706"/>
      <c r="D51" s="706"/>
      <c r="E51" s="73"/>
    </row>
    <row r="52" spans="2:5" x14ac:dyDescent="0.2">
      <c r="B52" s="56"/>
      <c r="C52" s="56"/>
      <c r="D52" s="56"/>
      <c r="E52" s="56"/>
    </row>
    <row r="53" spans="2:5" ht="15.75" x14ac:dyDescent="0.2">
      <c r="B53" s="83" t="s">
        <v>37</v>
      </c>
      <c r="C53" s="600">
        <v>19</v>
      </c>
      <c r="D53" s="56"/>
      <c r="E53" s="56"/>
    </row>
  </sheetData>
  <sheetProtection sheet="1" objects="1" scenarios="1"/>
  <phoneticPr fontId="9" type="noConversion"/>
  <conditionalFormatting sqref="C17">
    <cfRule type="cellIs" dxfId="23" priority="3" stopIfTrue="1" operator="greaterThan">
      <formula>$C$19*0.1</formula>
    </cfRule>
  </conditionalFormatting>
  <conditionalFormatting sqref="D17">
    <cfRule type="cellIs" dxfId="22" priority="4" stopIfTrue="1" operator="greaterThan">
      <formula>$D$19*0.1</formula>
    </cfRule>
  </conditionalFormatting>
  <conditionalFormatting sqref="E17">
    <cfRule type="cellIs" dxfId="21" priority="5" stopIfTrue="1" operator="greaterThan">
      <formula>$E$19*0.1</formula>
    </cfRule>
  </conditionalFormatting>
  <conditionalFormatting sqref="C43">
    <cfRule type="cellIs" dxfId="20" priority="6" stopIfTrue="1" operator="greaterThan">
      <formula>$C$45*0.1</formula>
    </cfRule>
  </conditionalFormatting>
  <conditionalFormatting sqref="D43">
    <cfRule type="cellIs" dxfId="19" priority="7" stopIfTrue="1" operator="greaterThan">
      <formula>$D$45*0.1</formula>
    </cfRule>
  </conditionalFormatting>
  <conditionalFormatting sqref="E43">
    <cfRule type="cellIs" dxfId="18" priority="8" stopIfTrue="1" operator="greaterThan">
      <formula>$E$45*0.1</formula>
    </cfRule>
  </conditionalFormatting>
  <conditionalFormatting sqref="E46 C46">
    <cfRule type="cellIs" dxfId="17" priority="9" stopIfTrue="1" operator="lessThan">
      <formula>0</formula>
    </cfRule>
  </conditionalFormatting>
  <conditionalFormatting sqref="D45">
    <cfRule type="cellIs" dxfId="16" priority="10" stopIfTrue="1" operator="greaterThan">
      <formula>$D$47</formula>
    </cfRule>
  </conditionalFormatting>
  <conditionalFormatting sqref="C45">
    <cfRule type="cellIs" dxfId="15" priority="11" stopIfTrue="1" operator="greaterThan">
      <formula>$C$47</formula>
    </cfRule>
  </conditionalFormatting>
  <conditionalFormatting sqref="D46">
    <cfRule type="cellIs" dxfId="14" priority="2" stopIfTrue="1" operator="lessThan">
      <formula>0</formula>
    </cfRule>
  </conditionalFormatting>
  <conditionalFormatting sqref="E47">
    <cfRule type="cellIs" dxfId="13" priority="1" stopIfTrue="1" operator="lessThan">
      <formula>0</formula>
    </cfRule>
  </conditionalFormatting>
  <pageMargins left="0.75" right="0.75" top="1" bottom="1" header="0.5" footer="0.5"/>
  <pageSetup scale="84" orientation="portrait" blackAndWhite="1" r:id="rId1"/>
  <headerFooter alignWithMargins="0">
    <oddHeader>&amp;RState of Kansas
City</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tabColor rgb="FF00B0F0"/>
    <pageSetUpPr fitToPage="1"/>
  </sheetPr>
  <dimension ref="B1:E52"/>
  <sheetViews>
    <sheetView topLeftCell="A22" workbookViewId="0">
      <selection activeCell="K46" sqref="K46"/>
    </sheetView>
  </sheetViews>
  <sheetFormatPr defaultRowHeight="15" x14ac:dyDescent="0.2"/>
  <cols>
    <col min="1" max="1" width="2.44140625" style="54" customWidth="1"/>
    <col min="2" max="2" width="31.109375" style="54" customWidth="1"/>
    <col min="3" max="4" width="15.77734375" style="54" customWidth="1"/>
    <col min="5" max="5" width="16.21875" style="54" customWidth="1"/>
    <col min="6" max="16384" width="8.88671875" style="54"/>
  </cols>
  <sheetData>
    <row r="1" spans="2:5" ht="15.75" x14ac:dyDescent="0.2">
      <c r="B1" s="112" t="str">
        <f>inputPrYr!D3</f>
        <v>Valley Falls</v>
      </c>
      <c r="C1" s="6"/>
      <c r="D1" s="6"/>
      <c r="E1" s="131">
        <f>inputPrYr!$C$6</f>
        <v>2023</v>
      </c>
    </row>
    <row r="2" spans="2:5" ht="15.75" x14ac:dyDescent="0.2">
      <c r="B2" s="6"/>
      <c r="C2" s="6"/>
      <c r="D2" s="6"/>
      <c r="E2" s="108"/>
    </row>
    <row r="3" spans="2:5" ht="15.75" x14ac:dyDescent="0.2">
      <c r="B3" s="17" t="s">
        <v>85</v>
      </c>
      <c r="C3" s="204"/>
      <c r="D3" s="204"/>
      <c r="E3" s="205"/>
    </row>
    <row r="4" spans="2:5" ht="15.75" x14ac:dyDescent="0.2">
      <c r="B4" s="9" t="s">
        <v>20</v>
      </c>
      <c r="C4" s="539" t="s">
        <v>665</v>
      </c>
      <c r="D4" s="540" t="s">
        <v>666</v>
      </c>
      <c r="E4" s="89" t="s">
        <v>667</v>
      </c>
    </row>
    <row r="5" spans="2:5" ht="15.75" x14ac:dyDescent="0.2">
      <c r="B5" s="297">
        <f>inputPrYr!B49</f>
        <v>0</v>
      </c>
      <c r="C5" s="283" t="str">
        <f>CONCATENATE("Actual for ",E1-2,"")</f>
        <v>Actual for 2021</v>
      </c>
      <c r="D5" s="283" t="str">
        <f>CONCATENATE("Estimate for ",E1-1,"")</f>
        <v>Estimate for 2022</v>
      </c>
      <c r="E5" s="166" t="str">
        <f>CONCATENATE("Year for ",E1,"")</f>
        <v>Year for 2023</v>
      </c>
    </row>
    <row r="6" spans="2:5" ht="15.75" x14ac:dyDescent="0.2">
      <c r="B6" s="95" t="s">
        <v>99</v>
      </c>
      <c r="C6" s="26"/>
      <c r="D6" s="139">
        <f>C45</f>
        <v>0</v>
      </c>
      <c r="E6" s="139">
        <f>D45</f>
        <v>0</v>
      </c>
    </row>
    <row r="7" spans="2:5" ht="15.75" x14ac:dyDescent="0.2">
      <c r="B7" s="95" t="s">
        <v>101</v>
      </c>
      <c r="C7" s="41"/>
      <c r="D7" s="41"/>
      <c r="E7" s="41"/>
    </row>
    <row r="8" spans="2:5" ht="15.75" x14ac:dyDescent="0.2">
      <c r="B8" s="202"/>
      <c r="C8" s="174"/>
      <c r="D8" s="174"/>
      <c r="E8" s="174"/>
    </row>
    <row r="9" spans="2:5" ht="15.75" x14ac:dyDescent="0.2">
      <c r="B9" s="180"/>
      <c r="C9" s="174"/>
      <c r="D9" s="174"/>
      <c r="E9" s="174"/>
    </row>
    <row r="10" spans="2:5" ht="15.75" x14ac:dyDescent="0.2">
      <c r="B10" s="180"/>
      <c r="C10" s="174"/>
      <c r="D10" s="174"/>
      <c r="E10" s="174"/>
    </row>
    <row r="11" spans="2:5" ht="15.75" x14ac:dyDescent="0.2">
      <c r="B11" s="180"/>
      <c r="C11" s="174"/>
      <c r="D11" s="174"/>
      <c r="E11" s="174"/>
    </row>
    <row r="12" spans="2:5" ht="15.75" x14ac:dyDescent="0.2">
      <c r="B12" s="180"/>
      <c r="C12" s="174"/>
      <c r="D12" s="174"/>
      <c r="E12" s="174"/>
    </row>
    <row r="13" spans="2:5" ht="15.75" x14ac:dyDescent="0.2">
      <c r="B13" s="180"/>
      <c r="C13" s="174"/>
      <c r="D13" s="174"/>
      <c r="E13" s="174"/>
    </row>
    <row r="14" spans="2:5" ht="15.75" x14ac:dyDescent="0.2">
      <c r="B14" s="201"/>
      <c r="C14" s="59"/>
      <c r="D14" s="59"/>
      <c r="E14" s="59"/>
    </row>
    <row r="15" spans="2:5" ht="15.75" x14ac:dyDescent="0.2">
      <c r="B15" s="180"/>
      <c r="C15" s="174"/>
      <c r="D15" s="174"/>
      <c r="E15" s="174"/>
    </row>
    <row r="16" spans="2:5" ht="15.75" x14ac:dyDescent="0.2">
      <c r="B16" s="206" t="s">
        <v>26</v>
      </c>
      <c r="C16" s="174"/>
      <c r="D16" s="174"/>
      <c r="E16" s="174"/>
    </row>
    <row r="17" spans="2:5" ht="15.75" x14ac:dyDescent="0.2">
      <c r="B17" s="103" t="s">
        <v>192</v>
      </c>
      <c r="C17" s="174"/>
      <c r="D17" s="172"/>
      <c r="E17" s="172"/>
    </row>
    <row r="18" spans="2:5" ht="15.75" x14ac:dyDescent="0.2">
      <c r="B18" s="167" t="s">
        <v>654</v>
      </c>
      <c r="C18" s="299" t="str">
        <f>IF(C19*0.1&lt;C17,"Exceed 10% Rule","")</f>
        <v/>
      </c>
      <c r="D18" s="194" t="str">
        <f>IF(D19*0.1&lt;D17,"Exceed 10% Rule","")</f>
        <v/>
      </c>
      <c r="E18" s="194" t="str">
        <f>IF(E19*0.1&lt;E17,"Exceed 10% Rule","")</f>
        <v/>
      </c>
    </row>
    <row r="19" spans="2:5" ht="15.75" x14ac:dyDescent="0.2">
      <c r="B19" s="177" t="s">
        <v>27</v>
      </c>
      <c r="C19" s="198">
        <f>SUM(C8:C17)</f>
        <v>0</v>
      </c>
      <c r="D19" s="198">
        <f>SUM(D8:D17)</f>
        <v>0</v>
      </c>
      <c r="E19" s="198">
        <f>SUM(E8:E17)</f>
        <v>0</v>
      </c>
    </row>
    <row r="20" spans="2:5" ht="15.75" x14ac:dyDescent="0.2">
      <c r="B20" s="177" t="s">
        <v>28</v>
      </c>
      <c r="C20" s="198">
        <f>C6+C19</f>
        <v>0</v>
      </c>
      <c r="D20" s="198">
        <f>D6+D19</f>
        <v>0</v>
      </c>
      <c r="E20" s="198">
        <f>E6+E19</f>
        <v>0</v>
      </c>
    </row>
    <row r="21" spans="2:5" ht="15.75" x14ac:dyDescent="0.2">
      <c r="B21" s="95" t="s">
        <v>30</v>
      </c>
      <c r="C21" s="41"/>
      <c r="D21" s="41"/>
      <c r="E21" s="41"/>
    </row>
    <row r="22" spans="2:5" ht="15.75" x14ac:dyDescent="0.2">
      <c r="B22" s="180" t="s">
        <v>125</v>
      </c>
      <c r="C22" s="174"/>
      <c r="D22" s="174"/>
      <c r="E22" s="174"/>
    </row>
    <row r="23" spans="2:5" ht="15.75" x14ac:dyDescent="0.2">
      <c r="B23" s="202" t="s">
        <v>195</v>
      </c>
      <c r="C23" s="174"/>
      <c r="D23" s="174"/>
      <c r="E23" s="174"/>
    </row>
    <row r="24" spans="2:5" ht="15.75" x14ac:dyDescent="0.2">
      <c r="B24" s="180"/>
      <c r="C24" s="59"/>
      <c r="D24" s="59"/>
      <c r="E24" s="59"/>
    </row>
    <row r="25" spans="2:5" ht="15.75" x14ac:dyDescent="0.2">
      <c r="B25" s="180"/>
      <c r="C25" s="59"/>
      <c r="D25" s="59"/>
      <c r="E25" s="59"/>
    </row>
    <row r="26" spans="2:5" ht="15.75" x14ac:dyDescent="0.2">
      <c r="B26" s="180"/>
      <c r="C26" s="59"/>
      <c r="D26" s="59"/>
      <c r="E26" s="59"/>
    </row>
    <row r="27" spans="2:5" ht="15.75" x14ac:dyDescent="0.2">
      <c r="B27" s="180"/>
      <c r="C27" s="59"/>
      <c r="D27" s="59"/>
      <c r="E27" s="59"/>
    </row>
    <row r="28" spans="2:5" ht="15.75" x14ac:dyDescent="0.2">
      <c r="B28" s="180"/>
      <c r="C28" s="59"/>
      <c r="D28" s="59"/>
      <c r="E28" s="59"/>
    </row>
    <row r="29" spans="2:5" ht="15.75" x14ac:dyDescent="0.2">
      <c r="B29" s="180"/>
      <c r="C29" s="59"/>
      <c r="D29" s="59"/>
      <c r="E29" s="59"/>
    </row>
    <row r="30" spans="2:5" ht="15.75" x14ac:dyDescent="0.2">
      <c r="B30" s="180"/>
      <c r="C30" s="59"/>
      <c r="D30" s="59"/>
      <c r="E30" s="59"/>
    </row>
    <row r="31" spans="2:5" ht="15.75" x14ac:dyDescent="0.2">
      <c r="B31" s="180"/>
      <c r="C31" s="59"/>
      <c r="D31" s="59"/>
      <c r="E31" s="59"/>
    </row>
    <row r="32" spans="2:5" ht="15.75" x14ac:dyDescent="0.2">
      <c r="B32" s="180"/>
      <c r="C32" s="174"/>
      <c r="D32" s="174"/>
      <c r="E32" s="174"/>
    </row>
    <row r="33" spans="2:5" ht="15.75" x14ac:dyDescent="0.2">
      <c r="B33" s="180"/>
      <c r="C33" s="174"/>
      <c r="D33" s="174"/>
      <c r="E33" s="174"/>
    </row>
    <row r="34" spans="2:5" ht="15.75" x14ac:dyDescent="0.2">
      <c r="B34" s="180"/>
      <c r="C34" s="174"/>
      <c r="D34" s="174"/>
      <c r="E34" s="174"/>
    </row>
    <row r="35" spans="2:5" ht="15.75" x14ac:dyDescent="0.2">
      <c r="B35" s="180"/>
      <c r="C35" s="174"/>
      <c r="D35" s="174"/>
      <c r="E35" s="174"/>
    </row>
    <row r="36" spans="2:5" ht="15.75" x14ac:dyDescent="0.2">
      <c r="B36" s="180"/>
      <c r="C36" s="174"/>
      <c r="D36" s="174"/>
      <c r="E36" s="174"/>
    </row>
    <row r="37" spans="2:5" ht="15.75" x14ac:dyDescent="0.2">
      <c r="B37" s="180"/>
      <c r="C37" s="174"/>
      <c r="D37" s="174"/>
      <c r="E37" s="174"/>
    </row>
    <row r="38" spans="2:5" ht="15.75" x14ac:dyDescent="0.2">
      <c r="B38" s="180"/>
      <c r="C38" s="174"/>
      <c r="D38" s="174"/>
      <c r="E38" s="174"/>
    </row>
    <row r="39" spans="2:5" ht="15.75" x14ac:dyDescent="0.2">
      <c r="B39" s="180"/>
      <c r="C39" s="174"/>
      <c r="D39" s="174"/>
      <c r="E39" s="174"/>
    </row>
    <row r="40" spans="2:5" ht="15.75" x14ac:dyDescent="0.2">
      <c r="B40" s="180"/>
      <c r="C40" s="174"/>
      <c r="D40" s="174"/>
      <c r="E40" s="174"/>
    </row>
    <row r="41" spans="2:5" ht="15.75" x14ac:dyDescent="0.2">
      <c r="B41" s="181" t="str">
        <f>CONCATENATE("Cash Forward (",E1," column)")</f>
        <v>Cash Forward (2023 column)</v>
      </c>
      <c r="C41" s="174"/>
      <c r="D41" s="174"/>
      <c r="E41" s="174"/>
    </row>
    <row r="42" spans="2:5" ht="15.75" x14ac:dyDescent="0.2">
      <c r="B42" s="181" t="s">
        <v>192</v>
      </c>
      <c r="C42" s="174"/>
      <c r="D42" s="172"/>
      <c r="E42" s="172"/>
    </row>
    <row r="43" spans="2:5" ht="15.75" x14ac:dyDescent="0.2">
      <c r="B43" s="181" t="s">
        <v>655</v>
      </c>
      <c r="C43" s="299" t="str">
        <f>IF(C44*0.1&lt;C42,"Exceed 10% Rule","")</f>
        <v/>
      </c>
      <c r="D43" s="194" t="str">
        <f>IF(D44*0.1&lt;D42,"Exceed 10% Rule","")</f>
        <v/>
      </c>
      <c r="E43" s="194" t="str">
        <f>IF(E44*0.1&lt;E42,"Exceed 10% Rule","")</f>
        <v/>
      </c>
    </row>
    <row r="44" spans="2:5" ht="15.75" x14ac:dyDescent="0.2">
      <c r="B44" s="177" t="s">
        <v>34</v>
      </c>
      <c r="C44" s="198">
        <f>SUM(C22:C42)</f>
        <v>0</v>
      </c>
      <c r="D44" s="198">
        <f>SUM(D22:D42)</f>
        <v>0</v>
      </c>
      <c r="E44" s="198">
        <f>SUM(E22:E42)</f>
        <v>0</v>
      </c>
    </row>
    <row r="45" spans="2:5" ht="15.75" x14ac:dyDescent="0.2">
      <c r="B45" s="95" t="s">
        <v>100</v>
      </c>
      <c r="C45" s="139">
        <f>C20-C44</f>
        <v>0</v>
      </c>
      <c r="D45" s="139">
        <f>D20-D44</f>
        <v>0</v>
      </c>
      <c r="E45" s="139">
        <f>E20-E44</f>
        <v>0</v>
      </c>
    </row>
    <row r="46" spans="2:5" ht="15.75" x14ac:dyDescent="0.2">
      <c r="B46" s="110" t="str">
        <f>CONCATENATE("",E1-2,"/",E1-1,"/",E1," Budget Authority Amount:")</f>
        <v>2021/2022/2023 Budget Authority Amount:</v>
      </c>
      <c r="C46" s="428">
        <f>inputOth!B90</f>
        <v>0</v>
      </c>
      <c r="D46" s="428">
        <f>inputPrYr!D49</f>
        <v>0</v>
      </c>
      <c r="E46" s="336">
        <f>E44</f>
        <v>0</v>
      </c>
    </row>
    <row r="47" spans="2:5" ht="15.75" x14ac:dyDescent="0.2">
      <c r="B47" s="83"/>
      <c r="C47" s="184" t="str">
        <f>IF(C44&gt;C46,"See Tab A","")</f>
        <v/>
      </c>
      <c r="D47" s="184" t="str">
        <f>IF(D44&gt;D46,"See Tab C","")</f>
        <v/>
      </c>
      <c r="E47" s="594" t="str">
        <f>IF(E45&lt;0,"See Tab E","")</f>
        <v/>
      </c>
    </row>
    <row r="48" spans="2:5" ht="15.75" x14ac:dyDescent="0.2">
      <c r="B48" s="728" t="s">
        <v>839</v>
      </c>
      <c r="C48" s="701"/>
      <c r="D48" s="701"/>
      <c r="E48" s="702"/>
    </row>
    <row r="49" spans="2:5" ht="15.75" x14ac:dyDescent="0.2">
      <c r="B49" s="703"/>
      <c r="C49" s="704" t="str">
        <f>IF(C45&lt;0,"See Tab B","")</f>
        <v/>
      </c>
      <c r="D49" s="704" t="str">
        <f>IF(D45&lt;0,"See Tab D","")</f>
        <v/>
      </c>
      <c r="E49" s="710"/>
    </row>
    <row r="50" spans="2:5" ht="15.75" x14ac:dyDescent="0.2">
      <c r="B50" s="705"/>
      <c r="C50" s="706"/>
      <c r="D50" s="706"/>
      <c r="E50" s="711"/>
    </row>
    <row r="51" spans="2:5" x14ac:dyDescent="0.2">
      <c r="B51" s="56"/>
      <c r="C51" s="56"/>
      <c r="D51" s="56"/>
      <c r="E51" s="56"/>
    </row>
    <row r="52" spans="2:5" ht="15.75" x14ac:dyDescent="0.2">
      <c r="B52" s="83" t="s">
        <v>37</v>
      </c>
      <c r="C52" s="600">
        <v>20</v>
      </c>
      <c r="D52" s="56"/>
      <c r="E52" s="56"/>
    </row>
  </sheetData>
  <sheetProtection sheet="1" objects="1" scenarios="1"/>
  <phoneticPr fontId="9" type="noConversion"/>
  <conditionalFormatting sqref="C17">
    <cfRule type="cellIs" dxfId="12" priority="3" stopIfTrue="1" operator="greaterThan">
      <formula>$C$19*0.1</formula>
    </cfRule>
  </conditionalFormatting>
  <conditionalFormatting sqref="D17">
    <cfRule type="cellIs" dxfId="11" priority="4" stopIfTrue="1" operator="greaterThan">
      <formula>$D$19*0.1</formula>
    </cfRule>
  </conditionalFormatting>
  <conditionalFormatting sqref="E17">
    <cfRule type="cellIs" dxfId="10" priority="5" stopIfTrue="1" operator="greaterThan">
      <formula>$E$19*0.1</formula>
    </cfRule>
  </conditionalFormatting>
  <conditionalFormatting sqref="C42">
    <cfRule type="cellIs" dxfId="9" priority="6" stopIfTrue="1" operator="greaterThan">
      <formula>$C$44*0.1</formula>
    </cfRule>
  </conditionalFormatting>
  <conditionalFormatting sqref="D42">
    <cfRule type="cellIs" dxfId="8" priority="7" stopIfTrue="1" operator="greaterThan">
      <formula>$D$44*0.1</formula>
    </cfRule>
  </conditionalFormatting>
  <conditionalFormatting sqref="E42">
    <cfRule type="cellIs" dxfId="7" priority="8" stopIfTrue="1" operator="greaterThan">
      <formula>$E$44*0.1</formula>
    </cfRule>
  </conditionalFormatting>
  <conditionalFormatting sqref="C45 E45">
    <cfRule type="cellIs" dxfId="6" priority="9" stopIfTrue="1" operator="lessThan">
      <formula>0</formula>
    </cfRule>
  </conditionalFormatting>
  <conditionalFormatting sqref="C44">
    <cfRule type="cellIs" dxfId="5" priority="10" stopIfTrue="1" operator="greaterThan">
      <formula>$C$46</formula>
    </cfRule>
  </conditionalFormatting>
  <conditionalFormatting sqref="D44">
    <cfRule type="cellIs" dxfId="4" priority="11" stopIfTrue="1" operator="greaterThan">
      <formula>$D$46</formula>
    </cfRule>
  </conditionalFormatting>
  <conditionalFormatting sqref="D45">
    <cfRule type="cellIs" dxfId="3" priority="2" stopIfTrue="1" operator="lessThan">
      <formula>0</formula>
    </cfRule>
  </conditionalFormatting>
  <conditionalFormatting sqref="E46">
    <cfRule type="cellIs" dxfId="2" priority="1" stopIfTrue="1" operator="lessThan">
      <formula>0</formula>
    </cfRule>
  </conditionalFormatting>
  <pageMargins left="0.75" right="0.75" top="1" bottom="1" header="0.5" footer="0.5"/>
  <pageSetup scale="74" orientation="portrait" blackAndWhite="1" r:id="rId1"/>
  <headerFooter alignWithMargins="0">
    <oddHeader>&amp;RState of Kansas
City</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tabColor rgb="FF00B0F0"/>
    <pageSetUpPr fitToPage="1"/>
  </sheetPr>
  <dimension ref="A1:L45"/>
  <sheetViews>
    <sheetView topLeftCell="A16" workbookViewId="0">
      <selection activeCell="F37" sqref="F37"/>
    </sheetView>
  </sheetViews>
  <sheetFormatPr defaultRowHeight="15.75" x14ac:dyDescent="0.2"/>
  <cols>
    <col min="1" max="1" width="11.5546875" style="2" customWidth="1"/>
    <col min="2" max="2" width="7.44140625" style="2" customWidth="1"/>
    <col min="3" max="3" width="11.5546875" style="2" customWidth="1"/>
    <col min="4" max="4" width="7.44140625" style="2" customWidth="1"/>
    <col min="5" max="5" width="11.5546875" style="2" customWidth="1"/>
    <col min="6" max="6" width="7.44140625" style="2" customWidth="1"/>
    <col min="7" max="7" width="11.5546875" style="2" customWidth="1"/>
    <col min="8" max="8" width="7.44140625" style="2" customWidth="1"/>
    <col min="9" max="9" width="11.5546875" style="2" customWidth="1"/>
    <col min="10" max="16384" width="8.88671875" style="2"/>
  </cols>
  <sheetData>
    <row r="1" spans="1:11" x14ac:dyDescent="0.2">
      <c r="A1" s="57">
        <f>inputPrYr!$C$3</f>
        <v>0</v>
      </c>
      <c r="B1" s="207"/>
      <c r="C1" s="57"/>
      <c r="D1" s="57"/>
      <c r="E1" s="57"/>
      <c r="F1" s="208" t="s">
        <v>128</v>
      </c>
      <c r="G1" s="57"/>
      <c r="H1" s="57"/>
      <c r="I1" s="57"/>
      <c r="J1" s="57"/>
      <c r="K1" s="57">
        <f>inputPrYr!$C$6</f>
        <v>2023</v>
      </c>
    </row>
    <row r="2" spans="1:11" x14ac:dyDescent="0.2">
      <c r="A2" s="57"/>
      <c r="B2" s="57"/>
      <c r="C2" s="57"/>
      <c r="D2" s="57"/>
      <c r="E2" s="57"/>
      <c r="F2" s="209" t="str">
        <f>CONCATENATE("(Only the actual budget year for ",K1-2," is reported)")</f>
        <v>(Only the actual budget year for 2021 is reported)</v>
      </c>
      <c r="G2" s="57"/>
      <c r="H2" s="57"/>
      <c r="I2" s="57"/>
      <c r="J2" s="57"/>
      <c r="K2" s="57"/>
    </row>
    <row r="3" spans="1:11" x14ac:dyDescent="0.2">
      <c r="A3" s="57" t="s">
        <v>154</v>
      </c>
      <c r="B3" s="57"/>
      <c r="C3" s="57"/>
      <c r="D3" s="57"/>
      <c r="E3" s="57"/>
      <c r="F3" s="207"/>
      <c r="G3" s="57"/>
      <c r="H3" s="57"/>
      <c r="I3" s="57"/>
      <c r="J3" s="57"/>
      <c r="K3" s="57"/>
    </row>
    <row r="4" spans="1:11" x14ac:dyDescent="0.2">
      <c r="A4" s="57" t="s">
        <v>136</v>
      </c>
      <c r="B4" s="57"/>
      <c r="C4" s="57" t="s">
        <v>137</v>
      </c>
      <c r="D4" s="57"/>
      <c r="E4" s="57" t="s">
        <v>138</v>
      </c>
      <c r="F4" s="207"/>
      <c r="G4" s="57" t="s">
        <v>139</v>
      </c>
      <c r="H4" s="57"/>
      <c r="I4" s="57" t="s">
        <v>140</v>
      </c>
      <c r="J4" s="57"/>
      <c r="K4" s="57"/>
    </row>
    <row r="5" spans="1:11" x14ac:dyDescent="0.2">
      <c r="A5" s="916" t="str">
        <f>inputPrYr!$B53</f>
        <v>Swimming Pool Reserve</v>
      </c>
      <c r="B5" s="917"/>
      <c r="C5" s="916" t="str">
        <f>inputPrYr!$B54</f>
        <v xml:space="preserve">Capital Improvement </v>
      </c>
      <c r="D5" s="917"/>
      <c r="E5" s="916" t="str">
        <f>inputPrYr!$B55</f>
        <v>Municipal Equipment Reserve</v>
      </c>
      <c r="F5" s="917"/>
      <c r="G5" s="916" t="str">
        <f>inputPrYr!$B56</f>
        <v>Water Reserve</v>
      </c>
      <c r="H5" s="917"/>
      <c r="I5" s="916" t="str">
        <f>inputPrYr!$B57</f>
        <v>Sewer Reserve</v>
      </c>
      <c r="J5" s="917"/>
      <c r="K5" s="71"/>
    </row>
    <row r="6" spans="1:11" x14ac:dyDescent="0.2">
      <c r="A6" s="211" t="s">
        <v>124</v>
      </c>
      <c r="B6" s="212"/>
      <c r="C6" s="213" t="s">
        <v>124</v>
      </c>
      <c r="D6" s="214"/>
      <c r="E6" s="213" t="s">
        <v>124</v>
      </c>
      <c r="F6" s="215"/>
      <c r="G6" s="213" t="s">
        <v>124</v>
      </c>
      <c r="H6" s="210"/>
      <c r="I6" s="213" t="s">
        <v>124</v>
      </c>
      <c r="J6" s="57"/>
      <c r="K6" s="216" t="s">
        <v>247</v>
      </c>
    </row>
    <row r="7" spans="1:11" x14ac:dyDescent="0.2">
      <c r="A7" s="217" t="s">
        <v>194</v>
      </c>
      <c r="B7" s="218">
        <v>6121</v>
      </c>
      <c r="C7" s="219" t="s">
        <v>194</v>
      </c>
      <c r="D7" s="218">
        <v>9008</v>
      </c>
      <c r="E7" s="219" t="s">
        <v>194</v>
      </c>
      <c r="F7" s="218">
        <v>5656</v>
      </c>
      <c r="G7" s="219" t="s">
        <v>194</v>
      </c>
      <c r="H7" s="218">
        <v>0</v>
      </c>
      <c r="I7" s="219" t="s">
        <v>194</v>
      </c>
      <c r="J7" s="218">
        <v>0</v>
      </c>
      <c r="K7" s="220">
        <f>SUM(B7+D7+F7+H7+J7)</f>
        <v>20785</v>
      </c>
    </row>
    <row r="8" spans="1:11" x14ac:dyDescent="0.2">
      <c r="A8" s="221" t="s">
        <v>101</v>
      </c>
      <c r="B8" s="222"/>
      <c r="C8" s="221" t="s">
        <v>101</v>
      </c>
      <c r="D8" s="223"/>
      <c r="E8" s="221" t="s">
        <v>101</v>
      </c>
      <c r="F8" s="207"/>
      <c r="G8" s="221" t="s">
        <v>101</v>
      </c>
      <c r="H8" s="57"/>
      <c r="I8" s="221" t="s">
        <v>101</v>
      </c>
      <c r="J8" s="57"/>
      <c r="K8" s="207"/>
    </row>
    <row r="9" spans="1:11" x14ac:dyDescent="0.2">
      <c r="A9" s="224" t="s">
        <v>1127</v>
      </c>
      <c r="B9" s="218">
        <v>508</v>
      </c>
      <c r="C9" s="224" t="s">
        <v>1129</v>
      </c>
      <c r="D9" s="218">
        <v>87979</v>
      </c>
      <c r="E9" s="224" t="s">
        <v>1130</v>
      </c>
      <c r="F9" s="218">
        <v>4879</v>
      </c>
      <c r="G9" s="224" t="s">
        <v>146</v>
      </c>
      <c r="H9" s="218">
        <v>0</v>
      </c>
      <c r="I9" s="224" t="s">
        <v>146</v>
      </c>
      <c r="J9" s="218">
        <v>0</v>
      </c>
      <c r="K9" s="207"/>
    </row>
    <row r="10" spans="1:11" x14ac:dyDescent="0.2">
      <c r="A10" s="224"/>
      <c r="B10" s="218"/>
      <c r="C10" s="224"/>
      <c r="D10" s="218"/>
      <c r="E10" s="224"/>
      <c r="F10" s="218"/>
      <c r="G10" s="224"/>
      <c r="H10" s="218"/>
      <c r="I10" s="224"/>
      <c r="J10" s="218"/>
      <c r="K10" s="207"/>
    </row>
    <row r="11" spans="1:11" x14ac:dyDescent="0.2">
      <c r="A11" s="224"/>
      <c r="B11" s="218"/>
      <c r="C11" s="225"/>
      <c r="D11" s="226"/>
      <c r="E11" s="225"/>
      <c r="F11" s="226"/>
      <c r="G11" s="225"/>
      <c r="H11" s="226"/>
      <c r="I11" s="227"/>
      <c r="J11" s="218"/>
      <c r="K11" s="207"/>
    </row>
    <row r="12" spans="1:11" x14ac:dyDescent="0.2">
      <c r="A12" s="224"/>
      <c r="B12" s="228"/>
      <c r="C12" s="224"/>
      <c r="D12" s="229"/>
      <c r="E12" s="230"/>
      <c r="F12" s="229"/>
      <c r="G12" s="230"/>
      <c r="H12" s="229"/>
      <c r="I12" s="230"/>
      <c r="J12" s="218"/>
      <c r="K12" s="207"/>
    </row>
    <row r="13" spans="1:11" x14ac:dyDescent="0.2">
      <c r="A13" s="231"/>
      <c r="B13" s="232"/>
      <c r="C13" s="233"/>
      <c r="D13" s="232"/>
      <c r="E13" s="233"/>
      <c r="F13" s="232"/>
      <c r="G13" s="233"/>
      <c r="H13" s="232"/>
      <c r="I13" s="227"/>
      <c r="J13" s="218"/>
      <c r="K13" s="207"/>
    </row>
    <row r="14" spans="1:11" x14ac:dyDescent="0.2">
      <c r="A14" s="224"/>
      <c r="B14" s="218"/>
      <c r="C14" s="230"/>
      <c r="D14" s="229"/>
      <c r="E14" s="230"/>
      <c r="F14" s="229"/>
      <c r="G14" s="230"/>
      <c r="H14" s="229"/>
      <c r="I14" s="230"/>
      <c r="J14" s="218"/>
      <c r="K14" s="207"/>
    </row>
    <row r="15" spans="1:11" x14ac:dyDescent="0.2">
      <c r="A15" s="224"/>
      <c r="B15" s="218"/>
      <c r="C15" s="230"/>
      <c r="D15" s="229"/>
      <c r="E15" s="230"/>
      <c r="F15" s="229"/>
      <c r="G15" s="230"/>
      <c r="H15" s="229"/>
      <c r="I15" s="230"/>
      <c r="J15" s="218"/>
      <c r="K15" s="207"/>
    </row>
    <row r="16" spans="1:11" x14ac:dyDescent="0.2">
      <c r="A16" s="224"/>
      <c r="B16" s="232"/>
      <c r="C16" s="224"/>
      <c r="D16" s="232"/>
      <c r="E16" s="224"/>
      <c r="F16" s="218"/>
      <c r="G16" s="230"/>
      <c r="H16" s="232"/>
      <c r="I16" s="224"/>
      <c r="J16" s="229"/>
      <c r="K16" s="207"/>
    </row>
    <row r="17" spans="1:12" x14ac:dyDescent="0.2">
      <c r="A17" s="221" t="s">
        <v>27</v>
      </c>
      <c r="B17" s="220">
        <f>SUM(B9:B16)</f>
        <v>508</v>
      </c>
      <c r="C17" s="221" t="s">
        <v>27</v>
      </c>
      <c r="D17" s="234">
        <f>SUM(D9:D16)</f>
        <v>87979</v>
      </c>
      <c r="E17" s="221" t="s">
        <v>27</v>
      </c>
      <c r="F17" s="235">
        <f>SUM(F9:F16)</f>
        <v>4879</v>
      </c>
      <c r="G17" s="221" t="s">
        <v>27</v>
      </c>
      <c r="H17" s="234">
        <f>SUM(H9:H16)</f>
        <v>0</v>
      </c>
      <c r="I17" s="221" t="s">
        <v>27</v>
      </c>
      <c r="J17" s="234">
        <f>SUM(J9:J16)</f>
        <v>0</v>
      </c>
      <c r="K17" s="220">
        <f>SUM(B17+D17+F17+H17+J17)</f>
        <v>93366</v>
      </c>
    </row>
    <row r="18" spans="1:12" x14ac:dyDescent="0.2">
      <c r="A18" s="221" t="s">
        <v>28</v>
      </c>
      <c r="B18" s="220">
        <f>SUM(B7+B17)</f>
        <v>6629</v>
      </c>
      <c r="C18" s="221" t="s">
        <v>28</v>
      </c>
      <c r="D18" s="220">
        <f>SUM(D7+D17)</f>
        <v>96987</v>
      </c>
      <c r="E18" s="221" t="s">
        <v>28</v>
      </c>
      <c r="F18" s="220">
        <f>SUM(F7+F17)</f>
        <v>10535</v>
      </c>
      <c r="G18" s="221" t="s">
        <v>28</v>
      </c>
      <c r="H18" s="220">
        <f>SUM(H7+H17)</f>
        <v>0</v>
      </c>
      <c r="I18" s="221" t="s">
        <v>28</v>
      </c>
      <c r="J18" s="220">
        <f>SUM(J7+J17)</f>
        <v>0</v>
      </c>
      <c r="K18" s="220">
        <f>SUM(B18+D18+F18+H18+J18)</f>
        <v>114151</v>
      </c>
    </row>
    <row r="19" spans="1:12" x14ac:dyDescent="0.2">
      <c r="A19" s="221" t="s">
        <v>30</v>
      </c>
      <c r="B19" s="222"/>
      <c r="C19" s="221" t="s">
        <v>30</v>
      </c>
      <c r="D19" s="223"/>
      <c r="E19" s="221" t="s">
        <v>30</v>
      </c>
      <c r="F19" s="207"/>
      <c r="G19" s="221" t="s">
        <v>30</v>
      </c>
      <c r="H19" s="57"/>
      <c r="I19" s="221" t="s">
        <v>30</v>
      </c>
      <c r="J19" s="57"/>
      <c r="K19" s="207"/>
    </row>
    <row r="20" spans="1:12" x14ac:dyDescent="0.2">
      <c r="A20" s="224" t="s">
        <v>1128</v>
      </c>
      <c r="B20" s="218">
        <v>1200</v>
      </c>
      <c r="C20" s="230" t="s">
        <v>1108</v>
      </c>
      <c r="D20" s="218">
        <v>20411</v>
      </c>
      <c r="E20" s="230" t="s">
        <v>1108</v>
      </c>
      <c r="F20" s="218">
        <v>9003</v>
      </c>
      <c r="G20" s="230" t="s">
        <v>1108</v>
      </c>
      <c r="H20" s="218">
        <v>0</v>
      </c>
      <c r="I20" s="230" t="s">
        <v>1108</v>
      </c>
      <c r="J20" s="218">
        <v>0</v>
      </c>
      <c r="K20" s="207"/>
    </row>
    <row r="21" spans="1:12" x14ac:dyDescent="0.2">
      <c r="A21" s="224"/>
      <c r="B21" s="218"/>
      <c r="C21" s="230"/>
      <c r="D21" s="229"/>
      <c r="E21" s="230"/>
      <c r="F21" s="229"/>
      <c r="G21" s="230"/>
      <c r="H21" s="229"/>
      <c r="I21" s="230"/>
      <c r="J21" s="236"/>
      <c r="K21" s="207"/>
    </row>
    <row r="22" spans="1:12" x14ac:dyDescent="0.2">
      <c r="A22" s="224"/>
      <c r="B22" s="237"/>
      <c r="C22" s="233"/>
      <c r="D22" s="232"/>
      <c r="E22" s="233"/>
      <c r="F22" s="232"/>
      <c r="G22" s="233"/>
      <c r="H22" s="232"/>
      <c r="I22" s="227"/>
      <c r="J22" s="218"/>
      <c r="K22" s="207"/>
    </row>
    <row r="23" spans="1:12" x14ac:dyDescent="0.2">
      <c r="A23" s="224"/>
      <c r="B23" s="218"/>
      <c r="C23" s="230"/>
      <c r="D23" s="229"/>
      <c r="E23" s="230"/>
      <c r="F23" s="229"/>
      <c r="G23" s="230"/>
      <c r="H23" s="229"/>
      <c r="I23" s="230"/>
      <c r="J23" s="218"/>
      <c r="K23" s="207"/>
    </row>
    <row r="24" spans="1:12" x14ac:dyDescent="0.2">
      <c r="A24" s="224"/>
      <c r="B24" s="237"/>
      <c r="C24" s="233"/>
      <c r="D24" s="232"/>
      <c r="E24" s="233"/>
      <c r="F24" s="232"/>
      <c r="G24" s="233"/>
      <c r="H24" s="232"/>
      <c r="I24" s="227"/>
      <c r="J24" s="218"/>
      <c r="K24" s="207"/>
    </row>
    <row r="25" spans="1:12" x14ac:dyDescent="0.2">
      <c r="A25" s="224"/>
      <c r="B25" s="218"/>
      <c r="C25" s="230"/>
      <c r="D25" s="229"/>
      <c r="E25" s="230"/>
      <c r="F25" s="229"/>
      <c r="G25" s="230"/>
      <c r="H25" s="229"/>
      <c r="I25" s="230"/>
      <c r="J25" s="218"/>
      <c r="K25" s="207"/>
    </row>
    <row r="26" spans="1:12" x14ac:dyDescent="0.2">
      <c r="A26" s="224"/>
      <c r="B26" s="218"/>
      <c r="C26" s="230"/>
      <c r="D26" s="229"/>
      <c r="E26" s="230"/>
      <c r="F26" s="229"/>
      <c r="G26" s="230"/>
      <c r="H26" s="229"/>
      <c r="I26" s="230"/>
      <c r="J26" s="218"/>
      <c r="K26" s="207"/>
    </row>
    <row r="27" spans="1:12" x14ac:dyDescent="0.2">
      <c r="A27" s="224"/>
      <c r="B27" s="236"/>
      <c r="C27" s="224"/>
      <c r="D27" s="228"/>
      <c r="E27" s="224"/>
      <c r="F27" s="229"/>
      <c r="G27" s="230"/>
      <c r="H27" s="229"/>
      <c r="I27" s="230"/>
      <c r="J27" s="218"/>
      <c r="K27" s="207"/>
    </row>
    <row r="28" spans="1:12" x14ac:dyDescent="0.2">
      <c r="A28" s="221" t="s">
        <v>34</v>
      </c>
      <c r="B28" s="220">
        <f>SUM(B20:B27)</f>
        <v>1200</v>
      </c>
      <c r="C28" s="221" t="s">
        <v>34</v>
      </c>
      <c r="D28" s="220">
        <f>SUM(D20:D27)</f>
        <v>20411</v>
      </c>
      <c r="E28" s="221" t="s">
        <v>34</v>
      </c>
      <c r="F28" s="311">
        <f>SUM(F20:F27)</f>
        <v>9003</v>
      </c>
      <c r="G28" s="221" t="s">
        <v>34</v>
      </c>
      <c r="H28" s="311">
        <f>SUM(H20:H27)</f>
        <v>0</v>
      </c>
      <c r="I28" s="221" t="s">
        <v>34</v>
      </c>
      <c r="J28" s="220">
        <f>SUM(J20:J27)</f>
        <v>0</v>
      </c>
      <c r="K28" s="220">
        <f>SUM(B28+D28+F28+H28+J28)</f>
        <v>30614</v>
      </c>
    </row>
    <row r="29" spans="1:12" x14ac:dyDescent="0.2">
      <c r="A29" s="221" t="s">
        <v>123</v>
      </c>
      <c r="B29" s="220">
        <f>SUM(B18-B28)</f>
        <v>5429</v>
      </c>
      <c r="C29" s="221" t="s">
        <v>123</v>
      </c>
      <c r="D29" s="220">
        <f>SUM(D18-D28)</f>
        <v>76576</v>
      </c>
      <c r="E29" s="221" t="s">
        <v>123</v>
      </c>
      <c r="F29" s="220">
        <f>SUM(F18-F28)</f>
        <v>1532</v>
      </c>
      <c r="G29" s="221" t="s">
        <v>123</v>
      </c>
      <c r="H29" s="220">
        <f>SUM(H18-H28)</f>
        <v>0</v>
      </c>
      <c r="I29" s="221" t="s">
        <v>123</v>
      </c>
      <c r="J29" s="220">
        <f>SUM(J18-J28)</f>
        <v>0</v>
      </c>
      <c r="K29" s="238">
        <f>SUM(B29+D29+F29+H29+J29)</f>
        <v>83537</v>
      </c>
      <c r="L29" s="2" t="s">
        <v>177</v>
      </c>
    </row>
    <row r="30" spans="1:12" x14ac:dyDescent="0.2">
      <c r="A30" s="221"/>
      <c r="B30" s="261" t="str">
        <f>IF(B29&lt;0,"See Tab B","")</f>
        <v/>
      </c>
      <c r="C30" s="221"/>
      <c r="D30" s="261" t="str">
        <f>IF(D29&lt;0,"See Tab B","")</f>
        <v/>
      </c>
      <c r="E30" s="221"/>
      <c r="F30" s="261" t="str">
        <f>IF(F29&lt;0,"See Tab B","")</f>
        <v/>
      </c>
      <c r="G30" s="57"/>
      <c r="H30" s="261" t="str">
        <f>IF(H29&lt;0,"See Tab B","")</f>
        <v/>
      </c>
      <c r="I30" s="57"/>
      <c r="J30" s="261" t="str">
        <f>IF(J29&lt;0,"See Tab B","")</f>
        <v/>
      </c>
      <c r="K30" s="238">
        <f>SUM(K7+K17-K28)</f>
        <v>83537</v>
      </c>
      <c r="L30" s="2" t="s">
        <v>177</v>
      </c>
    </row>
    <row r="31" spans="1:12" x14ac:dyDescent="0.2">
      <c r="A31" s="57"/>
      <c r="B31" s="239"/>
      <c r="C31" s="57"/>
      <c r="D31" s="207"/>
      <c r="E31" s="57"/>
      <c r="F31" s="57"/>
      <c r="G31" s="57"/>
      <c r="H31" s="915" t="s">
        <v>178</v>
      </c>
      <c r="I31" s="915"/>
      <c r="J31" s="915"/>
      <c r="K31" s="915"/>
    </row>
    <row r="32" spans="1:12" x14ac:dyDescent="0.2">
      <c r="A32" s="57"/>
      <c r="B32" s="239"/>
      <c r="C32" s="57"/>
      <c r="D32" s="207"/>
      <c r="E32" s="57"/>
      <c r="F32" s="57"/>
      <c r="G32" s="57"/>
      <c r="H32" s="57"/>
      <c r="I32" s="57"/>
      <c r="J32" s="57"/>
      <c r="K32" s="57"/>
    </row>
    <row r="33" spans="1:11" x14ac:dyDescent="0.2">
      <c r="A33" s="729" t="s">
        <v>840</v>
      </c>
      <c r="B33" s="713"/>
      <c r="C33" s="714"/>
      <c r="D33" s="715"/>
      <c r="E33" s="714"/>
      <c r="F33" s="714"/>
      <c r="G33" s="714"/>
      <c r="H33" s="714"/>
      <c r="I33" s="714"/>
      <c r="J33" s="714"/>
      <c r="K33" s="716"/>
    </row>
    <row r="34" spans="1:11" x14ac:dyDescent="0.2">
      <c r="A34" s="717"/>
      <c r="B34" s="718"/>
      <c r="C34" s="719"/>
      <c r="D34" s="720"/>
      <c r="E34" s="719"/>
      <c r="F34" s="719"/>
      <c r="G34" s="719"/>
      <c r="H34" s="719"/>
      <c r="I34" s="719"/>
      <c r="J34" s="719"/>
      <c r="K34" s="721"/>
    </row>
    <row r="35" spans="1:11" x14ac:dyDescent="0.2">
      <c r="A35" s="722"/>
      <c r="B35" s="723"/>
      <c r="C35" s="71"/>
      <c r="D35" s="258"/>
      <c r="E35" s="71"/>
      <c r="F35" s="71"/>
      <c r="G35" s="71"/>
      <c r="H35" s="71"/>
      <c r="I35" s="71"/>
      <c r="J35" s="71"/>
      <c r="K35" s="724"/>
    </row>
    <row r="36" spans="1:11" x14ac:dyDescent="0.2">
      <c r="A36" s="57"/>
      <c r="B36" s="239"/>
      <c r="C36" s="57"/>
      <c r="D36" s="57"/>
      <c r="E36" s="57"/>
      <c r="F36" s="57"/>
      <c r="G36" s="57"/>
      <c r="H36" s="57"/>
      <c r="I36" s="57"/>
      <c r="J36" s="57"/>
      <c r="K36" s="57"/>
    </row>
    <row r="37" spans="1:11" x14ac:dyDescent="0.2">
      <c r="A37" s="57"/>
      <c r="B37" s="239"/>
      <c r="C37" s="57"/>
      <c r="D37" s="57"/>
      <c r="E37" s="185" t="s">
        <v>37</v>
      </c>
      <c r="F37" s="600">
        <v>21</v>
      </c>
      <c r="G37" s="57"/>
      <c r="H37" s="57"/>
      <c r="I37" s="57"/>
      <c r="J37" s="57"/>
      <c r="K37" s="57"/>
    </row>
    <row r="38" spans="1:11" x14ac:dyDescent="0.2">
      <c r="B38" s="240"/>
    </row>
    <row r="39" spans="1:11" x14ac:dyDescent="0.2">
      <c r="B39" s="240"/>
    </row>
    <row r="40" spans="1:11" x14ac:dyDescent="0.2">
      <c r="B40" s="240"/>
    </row>
    <row r="41" spans="1:11" x14ac:dyDescent="0.2">
      <c r="B41" s="240"/>
    </row>
    <row r="42" spans="1:11" x14ac:dyDescent="0.2">
      <c r="B42" s="240"/>
    </row>
    <row r="43" spans="1:11" x14ac:dyDescent="0.2">
      <c r="B43" s="240"/>
    </row>
    <row r="44" spans="1:11" x14ac:dyDescent="0.2">
      <c r="B44" s="240"/>
    </row>
    <row r="45" spans="1:11" x14ac:dyDescent="0.2">
      <c r="B45" s="240"/>
    </row>
  </sheetData>
  <sheetProtection sheet="1" objects="1" scenarios="1"/>
  <mergeCells count="6">
    <mergeCell ref="H31:K31"/>
    <mergeCell ref="I5:J5"/>
    <mergeCell ref="A5:B5"/>
    <mergeCell ref="C5:D5"/>
    <mergeCell ref="E5:F5"/>
    <mergeCell ref="G5:H5"/>
  </mergeCells>
  <phoneticPr fontId="9" type="noConversion"/>
  <pageMargins left="0" right="0" top="1" bottom="1" header="0.5" footer="0.5"/>
  <pageSetup scale="97" orientation="landscape" blackAndWhite="1" r:id="rId1"/>
  <headerFooter alignWithMargins="0">
    <oddHeader>&amp;RState of Kansas
City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E90"/>
  <sheetViews>
    <sheetView topLeftCell="A80" workbookViewId="0">
      <selection activeCell="I37" sqref="I37"/>
    </sheetView>
  </sheetViews>
  <sheetFormatPr defaultRowHeight="15" x14ac:dyDescent="0.2"/>
  <cols>
    <col min="1" max="1" width="15.77734375" style="54" customWidth="1"/>
    <col min="2" max="2" width="20.77734375" style="54" customWidth="1"/>
    <col min="3" max="3" width="9.77734375" style="54" customWidth="1"/>
    <col min="4" max="4" width="15.109375" style="54" customWidth="1"/>
    <col min="5" max="5" width="15.77734375" style="54" customWidth="1"/>
    <col min="6" max="16384" width="8.88671875" style="54"/>
  </cols>
  <sheetData>
    <row r="1" spans="1:5" ht="15.75" x14ac:dyDescent="0.2">
      <c r="A1" s="55" t="str">
        <f>inputPrYr!$D$3</f>
        <v>Valley Falls</v>
      </c>
      <c r="B1" s="56"/>
      <c r="C1" s="56"/>
      <c r="D1" s="56"/>
      <c r="E1" s="57">
        <f>inputPrYr!C6</f>
        <v>2023</v>
      </c>
    </row>
    <row r="2" spans="1:5" x14ac:dyDescent="0.2">
      <c r="A2" s="56"/>
      <c r="B2" s="56"/>
      <c r="C2" s="56"/>
      <c r="D2" s="56"/>
      <c r="E2" s="56"/>
    </row>
    <row r="3" spans="1:5" ht="15.75" x14ac:dyDescent="0.2">
      <c r="A3" s="809" t="s">
        <v>805</v>
      </c>
      <c r="B3" s="810"/>
      <c r="C3" s="810"/>
      <c r="D3" s="810"/>
      <c r="E3" s="810"/>
    </row>
    <row r="4" spans="1:5" ht="15.75" x14ac:dyDescent="0.2">
      <c r="A4" s="15"/>
      <c r="B4" s="15"/>
      <c r="C4" s="15"/>
      <c r="D4" s="15"/>
      <c r="E4" s="15"/>
    </row>
    <row r="5" spans="1:5" ht="15.75" x14ac:dyDescent="0.2">
      <c r="A5" s="15"/>
      <c r="B5" s="15"/>
      <c r="C5" s="15"/>
      <c r="D5" s="15"/>
      <c r="E5" s="15"/>
    </row>
    <row r="6" spans="1:5" ht="15.75" x14ac:dyDescent="0.2">
      <c r="A6" s="616" t="str">
        <f>CONCATENATE("From the County Clerk's ",E1," Budget Information:")</f>
        <v>From the County Clerk's 2023 Budget Information:</v>
      </c>
      <c r="B6" s="617"/>
      <c r="C6" s="618"/>
      <c r="D6" s="6"/>
      <c r="E6" s="27"/>
    </row>
    <row r="7" spans="1:5" ht="15.75" x14ac:dyDescent="0.2">
      <c r="A7" s="58" t="str">
        <f>CONCATENATE("Total Assessed Valuation for ",E1-1,"")</f>
        <v>Total Assessed Valuation for 2022</v>
      </c>
      <c r="B7" s="47"/>
      <c r="C7" s="47"/>
      <c r="D7" s="47"/>
      <c r="E7" s="26">
        <v>7356294</v>
      </c>
    </row>
    <row r="8" spans="1:5" ht="15.75" hidden="1" x14ac:dyDescent="0.2">
      <c r="A8" s="58" t="str">
        <f>CONCATENATE("New Improvements, Remodeling and Renovations for ",E1-1,"")</f>
        <v>New Improvements, Remodeling and Renovations for 2022</v>
      </c>
      <c r="B8" s="47"/>
      <c r="C8" s="47"/>
      <c r="D8" s="47"/>
      <c r="E8" s="59"/>
    </row>
    <row r="9" spans="1:5" ht="15.75" hidden="1" x14ac:dyDescent="0.2">
      <c r="A9" s="58" t="str">
        <f>CONCATENATE("Personal Property  - ",E1-1,"")</f>
        <v>Personal Property  - 2022</v>
      </c>
      <c r="B9" s="47"/>
      <c r="C9" s="47"/>
      <c r="D9" s="47"/>
      <c r="E9" s="59"/>
    </row>
    <row r="10" spans="1:5" ht="15.75" hidden="1" x14ac:dyDescent="0.2">
      <c r="A10" s="60" t="s">
        <v>111</v>
      </c>
      <c r="B10" s="47"/>
      <c r="C10" s="47"/>
      <c r="D10" s="47"/>
      <c r="E10" s="41"/>
    </row>
    <row r="11" spans="1:5" ht="15.75" hidden="1" x14ac:dyDescent="0.2">
      <c r="A11" s="58" t="s">
        <v>96</v>
      </c>
      <c r="B11" s="47"/>
      <c r="C11" s="47"/>
      <c r="D11" s="47"/>
      <c r="E11" s="59"/>
    </row>
    <row r="12" spans="1:5" ht="15.75" hidden="1" x14ac:dyDescent="0.2">
      <c r="A12" s="58" t="s">
        <v>97</v>
      </c>
      <c r="B12" s="47"/>
      <c r="C12" s="47"/>
      <c r="D12" s="47"/>
      <c r="E12" s="59"/>
    </row>
    <row r="13" spans="1:5" ht="15.75" hidden="1" x14ac:dyDescent="0.2">
      <c r="A13" s="58" t="s">
        <v>98</v>
      </c>
      <c r="B13" s="47"/>
      <c r="C13" s="47"/>
      <c r="D13" s="47"/>
      <c r="E13" s="59"/>
    </row>
    <row r="14" spans="1:5" ht="15.75" hidden="1" x14ac:dyDescent="0.2">
      <c r="A14" s="58" t="str">
        <f>CONCATENATE("Property that has changed in use for ",E1-1,"")</f>
        <v>Property that has changed in use for 2022</v>
      </c>
      <c r="B14" s="47"/>
      <c r="C14" s="47"/>
      <c r="D14" s="47"/>
      <c r="E14" s="59"/>
    </row>
    <row r="15" spans="1:5" ht="15.75" hidden="1" x14ac:dyDescent="0.2">
      <c r="A15" s="58" t="str">
        <f>CONCATENATE("Personal Property  - ",E1-2,"")</f>
        <v>Personal Property  - 2021</v>
      </c>
      <c r="B15" s="47"/>
      <c r="C15" s="47"/>
      <c r="D15" s="47"/>
      <c r="E15" s="59"/>
    </row>
    <row r="16" spans="1:5" ht="15.75" hidden="1" x14ac:dyDescent="0.2">
      <c r="A16" s="58" t="s">
        <v>841</v>
      </c>
      <c r="B16" s="47"/>
      <c r="C16" s="47"/>
      <c r="D16" s="47"/>
      <c r="E16" s="59"/>
    </row>
    <row r="17" spans="1:5" ht="15.75" x14ac:dyDescent="0.2">
      <c r="A17" s="58" t="str">
        <f>CONCATENATE("Gross earnings (intangible) tax estimate for ",E1,"")</f>
        <v>Gross earnings (intangible) tax estimate for 2023</v>
      </c>
      <c r="B17" s="47"/>
      <c r="C17" s="47"/>
      <c r="D17" s="48"/>
      <c r="E17" s="26">
        <v>0</v>
      </c>
    </row>
    <row r="18" spans="1:5" ht="15.75" x14ac:dyDescent="0.2">
      <c r="A18" s="58" t="s">
        <v>112</v>
      </c>
      <c r="B18" s="47"/>
      <c r="C18" s="47"/>
      <c r="D18" s="47"/>
      <c r="E18" s="25">
        <v>0</v>
      </c>
    </row>
    <row r="19" spans="1:5" ht="15.75" x14ac:dyDescent="0.2">
      <c r="A19" s="37"/>
      <c r="B19" s="36"/>
      <c r="C19" s="36"/>
      <c r="D19" s="36"/>
      <c r="E19" s="39"/>
    </row>
    <row r="20" spans="1:5" ht="15.75" x14ac:dyDescent="0.2">
      <c r="A20" s="731" t="s">
        <v>866</v>
      </c>
      <c r="B20" s="36"/>
      <c r="C20" s="36"/>
      <c r="D20" s="754">
        <v>34.689</v>
      </c>
      <c r="E20" s="39"/>
    </row>
    <row r="21" spans="1:5" ht="15.75" x14ac:dyDescent="0.2">
      <c r="A21" s="37"/>
      <c r="B21" s="36"/>
      <c r="C21" s="36"/>
      <c r="D21" s="36"/>
      <c r="E21" s="39"/>
    </row>
    <row r="22" spans="1:5" ht="15.75" x14ac:dyDescent="0.2">
      <c r="A22" s="37" t="str">
        <f>CONCATENATE("Actual Tax Rates for the ",E1-1," Budget:")</f>
        <v>Actual Tax Rates for the 2022 Budget:</v>
      </c>
      <c r="B22" s="36"/>
      <c r="C22" s="36"/>
      <c r="D22" s="36"/>
      <c r="E22" s="34"/>
    </row>
    <row r="23" spans="1:5" ht="15.75" x14ac:dyDescent="0.2">
      <c r="A23" s="824" t="s">
        <v>7</v>
      </c>
      <c r="B23" s="825"/>
      <c r="C23" s="61"/>
      <c r="D23" s="62" t="s">
        <v>58</v>
      </c>
      <c r="E23" s="34"/>
    </row>
    <row r="24" spans="1:5" ht="15.75" x14ac:dyDescent="0.2">
      <c r="A24" s="30" t="str">
        <f>inputPrYr!B19</f>
        <v>General</v>
      </c>
      <c r="B24" s="31"/>
      <c r="C24" s="36"/>
      <c r="D24" s="619">
        <v>38.04</v>
      </c>
      <c r="E24" s="39"/>
    </row>
    <row r="25" spans="1:5" ht="15.75" x14ac:dyDescent="0.2">
      <c r="A25" s="58" t="str">
        <f>inputPrYr!B20</f>
        <v>Debt Service</v>
      </c>
      <c r="B25" s="47"/>
      <c r="C25" s="36"/>
      <c r="D25" s="619"/>
      <c r="E25" s="39"/>
    </row>
    <row r="26" spans="1:5" ht="15.75" x14ac:dyDescent="0.2">
      <c r="A26" s="58" t="str">
        <f>inputPrYr!B21</f>
        <v>Library</v>
      </c>
      <c r="B26" s="47"/>
      <c r="C26" s="36"/>
      <c r="D26" s="619"/>
      <c r="E26" s="39"/>
    </row>
    <row r="27" spans="1:5" ht="15.75" x14ac:dyDescent="0.2">
      <c r="A27" s="58" t="str">
        <f>inputPrYr!B23</f>
        <v>Bond &amp; Interest</v>
      </c>
      <c r="B27" s="47"/>
      <c r="C27" s="36"/>
      <c r="D27" s="619"/>
      <c r="E27" s="39"/>
    </row>
    <row r="28" spans="1:5" ht="15.75" x14ac:dyDescent="0.2">
      <c r="A28" s="58">
        <f>inputPrYr!B24</f>
        <v>0</v>
      </c>
      <c r="B28" s="47"/>
      <c r="C28" s="36"/>
      <c r="D28" s="619"/>
      <c r="E28" s="39"/>
    </row>
    <row r="29" spans="1:5" ht="15.75" x14ac:dyDescent="0.2">
      <c r="A29" s="58">
        <f>inputPrYr!B25</f>
        <v>0</v>
      </c>
      <c r="B29" s="63"/>
      <c r="C29" s="36"/>
      <c r="D29" s="620"/>
      <c r="E29" s="39"/>
    </row>
    <row r="30" spans="1:5" ht="15.75" x14ac:dyDescent="0.2">
      <c r="A30" s="58">
        <f>inputPrYr!B26</f>
        <v>0</v>
      </c>
      <c r="B30" s="63"/>
      <c r="C30" s="36"/>
      <c r="D30" s="620"/>
      <c r="E30" s="39"/>
    </row>
    <row r="31" spans="1:5" ht="15.75" x14ac:dyDescent="0.2">
      <c r="A31" s="58">
        <f>inputPrYr!B27</f>
        <v>0</v>
      </c>
      <c r="B31" s="63"/>
      <c r="C31" s="36"/>
      <c r="D31" s="620"/>
      <c r="E31" s="39"/>
    </row>
    <row r="32" spans="1:5" ht="15.75" x14ac:dyDescent="0.2">
      <c r="A32" s="58">
        <f>inputPrYr!B28</f>
        <v>0</v>
      </c>
      <c r="B32" s="63"/>
      <c r="C32" s="36"/>
      <c r="D32" s="620"/>
      <c r="E32" s="39"/>
    </row>
    <row r="33" spans="1:5" ht="15.75" x14ac:dyDescent="0.2">
      <c r="A33" s="58">
        <f>inputPrYr!B29</f>
        <v>0</v>
      </c>
      <c r="B33" s="63"/>
      <c r="C33" s="36"/>
      <c r="D33" s="620"/>
      <c r="E33" s="39"/>
    </row>
    <row r="34" spans="1:5" ht="15.75" x14ac:dyDescent="0.2">
      <c r="A34" s="58">
        <f>inputPrYr!B30</f>
        <v>0</v>
      </c>
      <c r="B34" s="63"/>
      <c r="C34" s="36"/>
      <c r="D34" s="620"/>
      <c r="E34" s="39"/>
    </row>
    <row r="35" spans="1:5" ht="15.75" x14ac:dyDescent="0.2">
      <c r="A35" s="58">
        <f>inputPrYr!B31</f>
        <v>0</v>
      </c>
      <c r="B35" s="47"/>
      <c r="C35" s="36"/>
      <c r="D35" s="620"/>
      <c r="E35" s="39"/>
    </row>
    <row r="36" spans="1:5" ht="15.75" x14ac:dyDescent="0.2">
      <c r="A36" s="58">
        <f>inputPrYr!B32</f>
        <v>0</v>
      </c>
      <c r="B36" s="31"/>
      <c r="C36" s="36"/>
      <c r="D36" s="619"/>
      <c r="E36" s="39"/>
    </row>
    <row r="37" spans="1:5" ht="15.75" x14ac:dyDescent="0.2">
      <c r="A37" s="61"/>
      <c r="B37" s="31" t="s">
        <v>247</v>
      </c>
      <c r="C37" s="64"/>
      <c r="D37" s="44">
        <f>SUM(D24:D36)</f>
        <v>38.04</v>
      </c>
      <c r="E37" s="61"/>
    </row>
    <row r="38" spans="1:5" x14ac:dyDescent="0.2">
      <c r="A38" s="61"/>
      <c r="B38" s="61"/>
      <c r="C38" s="61"/>
      <c r="D38" s="61"/>
      <c r="E38" s="61"/>
    </row>
    <row r="39" spans="1:5" ht="15.75" x14ac:dyDescent="0.2">
      <c r="A39" s="31" t="str">
        <f>CONCATENATE("Final Assessed Valuation from the November 1, ",E1-2," Abstract")</f>
        <v>Final Assessed Valuation from the November 1, 2021 Abstract</v>
      </c>
      <c r="B39" s="65"/>
      <c r="C39" s="65"/>
      <c r="D39" s="65"/>
      <c r="E39" s="25">
        <v>6711947</v>
      </c>
    </row>
    <row r="40" spans="1:5" x14ac:dyDescent="0.2">
      <c r="A40" s="61"/>
      <c r="B40" s="61"/>
      <c r="C40" s="61"/>
      <c r="D40" s="61"/>
      <c r="E40" s="61"/>
    </row>
    <row r="41" spans="1:5" ht="15.75" x14ac:dyDescent="0.2">
      <c r="A41" s="606" t="str">
        <f>CONCATENATE("From the County Treasurer's Budget Information - ",E1," Budget Year Estimates:")</f>
        <v>From the County Treasurer's Budget Information - 2023 Budget Year Estimates:</v>
      </c>
      <c r="B41" s="46"/>
      <c r="C41" s="46"/>
      <c r="D41" s="634"/>
      <c r="E41" s="27"/>
    </row>
    <row r="42" spans="1:5" ht="15.75" x14ac:dyDescent="0.2">
      <c r="A42" s="30" t="s">
        <v>248</v>
      </c>
      <c r="B42" s="31"/>
      <c r="C42" s="31"/>
      <c r="D42" s="66"/>
      <c r="E42" s="26">
        <v>30257</v>
      </c>
    </row>
    <row r="43" spans="1:5" ht="15.75" x14ac:dyDescent="0.2">
      <c r="A43" s="58" t="s">
        <v>249</v>
      </c>
      <c r="B43" s="47"/>
      <c r="C43" s="47"/>
      <c r="D43" s="67"/>
      <c r="E43" s="26">
        <v>373</v>
      </c>
    </row>
    <row r="44" spans="1:5" ht="15.75" x14ac:dyDescent="0.2">
      <c r="A44" s="58" t="s">
        <v>113</v>
      </c>
      <c r="B44" s="47"/>
      <c r="C44" s="47"/>
      <c r="D44" s="67"/>
      <c r="E44" s="26">
        <v>67</v>
      </c>
    </row>
    <row r="45" spans="1:5" ht="15.75" x14ac:dyDescent="0.2">
      <c r="A45" s="58" t="s">
        <v>808</v>
      </c>
      <c r="B45" s="47"/>
      <c r="C45" s="47"/>
      <c r="D45" s="67"/>
      <c r="E45" s="26">
        <v>823</v>
      </c>
    </row>
    <row r="46" spans="1:5" ht="15.75" x14ac:dyDescent="0.2">
      <c r="A46" s="58" t="s">
        <v>809</v>
      </c>
      <c r="B46" s="47"/>
      <c r="C46" s="47"/>
      <c r="D46" s="67"/>
      <c r="E46" s="26">
        <v>0</v>
      </c>
    </row>
    <row r="47" spans="1:5" ht="15.75" x14ac:dyDescent="0.2">
      <c r="A47" s="58" t="s">
        <v>114</v>
      </c>
      <c r="B47" s="47"/>
      <c r="C47" s="47"/>
      <c r="D47" s="67"/>
      <c r="E47" s="26">
        <v>0</v>
      </c>
    </row>
    <row r="48" spans="1:5" ht="15.75" x14ac:dyDescent="0.2">
      <c r="A48" s="58" t="s">
        <v>115</v>
      </c>
      <c r="B48" s="47"/>
      <c r="C48" s="47"/>
      <c r="D48" s="67"/>
      <c r="E48" s="26">
        <v>0</v>
      </c>
    </row>
    <row r="49" spans="1:5" ht="15.75" x14ac:dyDescent="0.2">
      <c r="A49" s="6" t="s">
        <v>116</v>
      </c>
      <c r="B49" s="6"/>
      <c r="C49" s="6"/>
      <c r="D49" s="6"/>
      <c r="E49" s="6"/>
    </row>
    <row r="50" spans="1:5" ht="15.75" x14ac:dyDescent="0.2">
      <c r="A50" s="8" t="s">
        <v>15</v>
      </c>
      <c r="B50" s="13"/>
      <c r="C50" s="13"/>
      <c r="D50" s="6"/>
      <c r="E50" s="6"/>
    </row>
    <row r="51" spans="1:5" ht="15.75" x14ac:dyDescent="0.2">
      <c r="A51" s="37" t="str">
        <f>CONCATENATE("Actual Delinquency for ",E1-3," Tax - (e.g. rate .01213 = 1.213%;  key in 1.2)")</f>
        <v>Actual Delinquency for 2020 Tax - (e.g. rate .01213 = 1.213%;  key in 1.2)</v>
      </c>
      <c r="B51" s="36"/>
      <c r="C51" s="6"/>
      <c r="D51" s="6"/>
      <c r="E51" s="6"/>
    </row>
    <row r="52" spans="1:5" ht="15.75" x14ac:dyDescent="0.2">
      <c r="A52" s="307" t="s">
        <v>671</v>
      </c>
      <c r="B52" s="37"/>
      <c r="C52" s="36"/>
      <c r="D52" s="36"/>
      <c r="E52" s="494">
        <v>0.03</v>
      </c>
    </row>
    <row r="53" spans="1:5" ht="15.75" x14ac:dyDescent="0.2">
      <c r="A53" s="68" t="s">
        <v>156</v>
      </c>
      <c r="B53" s="68"/>
      <c r="C53" s="69"/>
      <c r="D53" s="69"/>
      <c r="E53" s="70"/>
    </row>
    <row r="54" spans="1:5" ht="15.75" x14ac:dyDescent="0.2">
      <c r="A54" s="6"/>
      <c r="B54" s="6"/>
      <c r="C54" s="6"/>
      <c r="D54" s="6"/>
      <c r="E54" s="6"/>
    </row>
    <row r="55" spans="1:5" ht="15.75" x14ac:dyDescent="0.2">
      <c r="A55" s="622" t="s">
        <v>952</v>
      </c>
      <c r="B55" s="623"/>
      <c r="C55" s="624"/>
      <c r="D55" s="624"/>
      <c r="E55" s="625"/>
    </row>
    <row r="56" spans="1:5" ht="15.75" x14ac:dyDescent="0.2">
      <c r="A56" s="71" t="str">
        <f>CONCATENATE("",E1," State Distribution for Kansas Gas Tax")</f>
        <v>2023 State Distribution for Kansas Gas Tax</v>
      </c>
      <c r="B56" s="72"/>
      <c r="C56" s="72"/>
      <c r="D56" s="73"/>
      <c r="E56" s="621">
        <v>32060</v>
      </c>
    </row>
    <row r="57" spans="1:5" ht="15.75" x14ac:dyDescent="0.2">
      <c r="A57" s="74" t="str">
        <f>CONCATENATE("",E1," County Transfers for Gas***")</f>
        <v>2023 County Transfers for Gas***</v>
      </c>
      <c r="B57" s="75"/>
      <c r="C57" s="75"/>
      <c r="D57" s="76"/>
      <c r="E57" s="25">
        <v>0</v>
      </c>
    </row>
    <row r="58" spans="1:5" ht="15.75" x14ac:dyDescent="0.2">
      <c r="A58" s="74" t="str">
        <f>CONCATENATE("Adjusted ",E1-1," State Distribution for Kansas Gas Tax")</f>
        <v>Adjusted 2022 State Distribution for Kansas Gas Tax</v>
      </c>
      <c r="B58" s="75"/>
      <c r="C58" s="75"/>
      <c r="D58" s="76"/>
      <c r="E58" s="25">
        <v>29650</v>
      </c>
    </row>
    <row r="59" spans="1:5" ht="15.75" x14ac:dyDescent="0.2">
      <c r="A59" s="74" t="str">
        <f>CONCATENATE("Adjusted ",E1-1," County Transfers for Gas***")</f>
        <v>Adjusted 2022 County Transfers for Gas***</v>
      </c>
      <c r="B59" s="75"/>
      <c r="C59" s="75"/>
      <c r="D59" s="76"/>
      <c r="E59" s="25">
        <v>0</v>
      </c>
    </row>
    <row r="60" spans="1:5" x14ac:dyDescent="0.2">
      <c r="A60" s="826" t="s">
        <v>170</v>
      </c>
      <c r="B60" s="827"/>
      <c r="C60" s="827"/>
      <c r="D60" s="827"/>
      <c r="E60" s="827"/>
    </row>
    <row r="61" spans="1:5" x14ac:dyDescent="0.2">
      <c r="A61" s="77" t="s">
        <v>171</v>
      </c>
      <c r="B61" s="77"/>
      <c r="C61" s="77"/>
      <c r="D61" s="77"/>
      <c r="E61" s="77"/>
    </row>
    <row r="62" spans="1:5" x14ac:dyDescent="0.2">
      <c r="A62" s="56"/>
      <c r="B62" s="56"/>
      <c r="C62" s="56"/>
      <c r="D62" s="56"/>
      <c r="E62" s="56"/>
    </row>
    <row r="63" spans="1:5" ht="15.75" x14ac:dyDescent="0.2">
      <c r="A63" s="828" t="str">
        <f>CONCATENATE("From the ",E1-2," Budget Certificate Page")</f>
        <v>From the 2021 Budget Certificate Page</v>
      </c>
      <c r="B63" s="829"/>
      <c r="C63" s="56"/>
      <c r="D63" s="56"/>
      <c r="E63" s="56"/>
    </row>
    <row r="64" spans="1:5" ht="15.75" x14ac:dyDescent="0.2">
      <c r="A64" s="78"/>
      <c r="B64" s="78" t="str">
        <f>CONCATENATE("",E1-2," Expenditure Amounts")</f>
        <v>2021 Expenditure Amounts</v>
      </c>
      <c r="C64" s="822" t="str">
        <f>CONCATENATE("Note: If the ",E1-2," budget was amended, then the")</f>
        <v>Note: If the 2021 budget was amended, then the</v>
      </c>
      <c r="D64" s="823"/>
      <c r="E64" s="823"/>
    </row>
    <row r="65" spans="1:5" ht="15.75" x14ac:dyDescent="0.2">
      <c r="A65" s="79" t="s">
        <v>188</v>
      </c>
      <c r="B65" s="79" t="s">
        <v>189</v>
      </c>
      <c r="C65" s="80" t="s">
        <v>190</v>
      </c>
      <c r="D65" s="81"/>
      <c r="E65" s="81"/>
    </row>
    <row r="66" spans="1:5" ht="15.75" x14ac:dyDescent="0.2">
      <c r="A66" s="82" t="str">
        <f>inputPrYr!B19</f>
        <v>General</v>
      </c>
      <c r="B66" s="25">
        <v>652500</v>
      </c>
      <c r="C66" s="80" t="s">
        <v>191</v>
      </c>
      <c r="D66" s="81"/>
      <c r="E66" s="81"/>
    </row>
    <row r="67" spans="1:5" ht="15.75" x14ac:dyDescent="0.2">
      <c r="A67" s="82" t="str">
        <f>inputPrYr!B20</f>
        <v>Debt Service</v>
      </c>
      <c r="B67" s="25"/>
      <c r="C67" s="80"/>
      <c r="D67" s="81"/>
      <c r="E67" s="81"/>
    </row>
    <row r="68" spans="1:5" ht="15.75" x14ac:dyDescent="0.2">
      <c r="A68" s="82" t="str">
        <f>inputPrYr!B21</f>
        <v>Library</v>
      </c>
      <c r="B68" s="25"/>
      <c r="C68" s="56"/>
      <c r="D68" s="56"/>
      <c r="E68" s="56"/>
    </row>
    <row r="69" spans="1:5" ht="15.75" x14ac:dyDescent="0.2">
      <c r="A69" s="82" t="str">
        <f>inputPrYr!B23</f>
        <v>Bond &amp; Interest</v>
      </c>
      <c r="B69" s="25">
        <v>106868</v>
      </c>
      <c r="C69" s="56"/>
      <c r="D69" s="56"/>
      <c r="E69" s="56"/>
    </row>
    <row r="70" spans="1:5" ht="15.75" x14ac:dyDescent="0.2">
      <c r="A70" s="82">
        <f>inputPrYr!B24</f>
        <v>0</v>
      </c>
      <c r="B70" s="25"/>
      <c r="C70" s="56"/>
      <c r="D70" s="56"/>
      <c r="E70" s="56"/>
    </row>
    <row r="71" spans="1:5" ht="15.75" x14ac:dyDescent="0.2">
      <c r="A71" s="82">
        <f>inputPrYr!B25</f>
        <v>0</v>
      </c>
      <c r="B71" s="25"/>
      <c r="C71" s="56"/>
      <c r="D71" s="56"/>
      <c r="E71" s="56"/>
    </row>
    <row r="72" spans="1:5" ht="15.75" x14ac:dyDescent="0.2">
      <c r="A72" s="82">
        <f>inputPrYr!B26</f>
        <v>0</v>
      </c>
      <c r="B72" s="25"/>
      <c r="C72" s="56"/>
      <c r="D72" s="56"/>
      <c r="E72" s="56"/>
    </row>
    <row r="73" spans="1:5" ht="15.75" x14ac:dyDescent="0.2">
      <c r="A73" s="82">
        <f>inputPrYr!B27</f>
        <v>0</v>
      </c>
      <c r="B73" s="25"/>
      <c r="C73" s="56"/>
      <c r="D73" s="56"/>
      <c r="E73" s="56"/>
    </row>
    <row r="74" spans="1:5" ht="15.75" x14ac:dyDescent="0.2">
      <c r="A74" s="82">
        <f>inputPrYr!B28</f>
        <v>0</v>
      </c>
      <c r="B74" s="25"/>
      <c r="C74" s="56"/>
      <c r="D74" s="56"/>
      <c r="E74" s="56"/>
    </row>
    <row r="75" spans="1:5" ht="15.75" x14ac:dyDescent="0.2">
      <c r="A75" s="82">
        <f>inputPrYr!B29</f>
        <v>0</v>
      </c>
      <c r="B75" s="25"/>
      <c r="C75" s="56"/>
      <c r="D75" s="56"/>
      <c r="E75" s="56"/>
    </row>
    <row r="76" spans="1:5" ht="15.75" x14ac:dyDescent="0.2">
      <c r="A76" s="82">
        <f>inputPrYr!B30</f>
        <v>0</v>
      </c>
      <c r="B76" s="25"/>
      <c r="C76" s="56"/>
      <c r="D76" s="56"/>
      <c r="E76" s="56"/>
    </row>
    <row r="77" spans="1:5" ht="15.75" x14ac:dyDescent="0.2">
      <c r="A77" s="82">
        <f>inputPrYr!B31</f>
        <v>0</v>
      </c>
      <c r="B77" s="25"/>
      <c r="C77" s="56"/>
      <c r="D77" s="56"/>
      <c r="E77" s="56"/>
    </row>
    <row r="78" spans="1:5" ht="15.75" x14ac:dyDescent="0.2">
      <c r="A78" s="82">
        <f>inputPrYr!B32</f>
        <v>0</v>
      </c>
      <c r="B78" s="25"/>
      <c r="C78" s="56"/>
      <c r="D78" s="56"/>
      <c r="E78" s="56"/>
    </row>
    <row r="79" spans="1:5" ht="15.75" x14ac:dyDescent="0.2">
      <c r="A79" s="82" t="str">
        <f>inputPrYr!B36</f>
        <v>Special Highway</v>
      </c>
      <c r="B79" s="25">
        <v>130000</v>
      </c>
      <c r="C79" s="56"/>
      <c r="D79" s="56"/>
      <c r="E79" s="56"/>
    </row>
    <row r="80" spans="1:5" ht="15.75" x14ac:dyDescent="0.2">
      <c r="A80" s="82" t="str">
        <f>inputPrYr!B37</f>
        <v xml:space="preserve">RHID </v>
      </c>
      <c r="B80" s="25">
        <v>53554</v>
      </c>
      <c r="C80" s="56"/>
      <c r="D80" s="56"/>
      <c r="E80" s="56"/>
    </row>
    <row r="81" spans="1:5" ht="15.75" x14ac:dyDescent="0.2">
      <c r="A81" s="82" t="str">
        <f>inputPrYr!B38</f>
        <v>Water Utility</v>
      </c>
      <c r="B81" s="25">
        <v>288550</v>
      </c>
      <c r="C81" s="56"/>
      <c r="D81" s="56"/>
      <c r="E81" s="56"/>
    </row>
    <row r="82" spans="1:5" ht="15.75" x14ac:dyDescent="0.2">
      <c r="A82" s="82" t="str">
        <f>inputPrYr!B39</f>
        <v>Sewer Utility</v>
      </c>
      <c r="B82" s="25">
        <v>166000</v>
      </c>
      <c r="C82" s="56"/>
      <c r="D82" s="56"/>
      <c r="E82" s="56"/>
    </row>
    <row r="83" spans="1:5" ht="15.75" x14ac:dyDescent="0.2">
      <c r="A83" s="82" t="str">
        <f>inputPrYr!B40</f>
        <v xml:space="preserve">Solid Waste Utility </v>
      </c>
      <c r="B83" s="25">
        <v>113000</v>
      </c>
      <c r="C83" s="56"/>
      <c r="D83" s="56"/>
      <c r="E83" s="56"/>
    </row>
    <row r="84" spans="1:5" ht="15.75" x14ac:dyDescent="0.2">
      <c r="A84" s="82">
        <f>inputPrYr!B41</f>
        <v>0</v>
      </c>
      <c r="B84" s="25"/>
      <c r="C84" s="56"/>
      <c r="D84" s="56"/>
      <c r="E84" s="56"/>
    </row>
    <row r="85" spans="1:5" ht="15.75" x14ac:dyDescent="0.2">
      <c r="A85" s="82">
        <f>inputPrYr!B42</f>
        <v>0</v>
      </c>
      <c r="B85" s="25"/>
      <c r="C85" s="56"/>
      <c r="D85" s="56"/>
      <c r="E85" s="56"/>
    </row>
    <row r="86" spans="1:5" ht="15.75" x14ac:dyDescent="0.2">
      <c r="A86" s="82">
        <f>inputPrYr!B43</f>
        <v>0</v>
      </c>
      <c r="B86" s="25"/>
      <c r="C86" s="56"/>
      <c r="D86" s="56"/>
      <c r="E86" s="56"/>
    </row>
    <row r="87" spans="1:5" ht="15.75" x14ac:dyDescent="0.2">
      <c r="A87" s="82">
        <f>inputPrYr!B46</f>
        <v>0</v>
      </c>
      <c r="B87" s="25"/>
      <c r="C87" s="56"/>
      <c r="D87" s="56"/>
      <c r="E87" s="56"/>
    </row>
    <row r="88" spans="1:5" ht="15.75" x14ac:dyDescent="0.2">
      <c r="A88" s="82">
        <f>inputPrYr!B47</f>
        <v>0</v>
      </c>
      <c r="B88" s="25"/>
      <c r="C88" s="56"/>
      <c r="D88" s="56"/>
      <c r="E88" s="56"/>
    </row>
    <row r="89" spans="1:5" ht="15.75" x14ac:dyDescent="0.2">
      <c r="A89" s="82">
        <f>inputPrYr!B48</f>
        <v>0</v>
      </c>
      <c r="B89" s="25"/>
      <c r="C89" s="56"/>
      <c r="D89" s="56"/>
      <c r="E89" s="56"/>
    </row>
    <row r="90" spans="1:5" ht="15.75" x14ac:dyDescent="0.2">
      <c r="A90" s="82">
        <f>inputPrYr!B49</f>
        <v>0</v>
      </c>
      <c r="B90" s="25"/>
      <c r="C90" s="56"/>
      <c r="D90" s="56"/>
      <c r="E90" s="56"/>
    </row>
  </sheetData>
  <sheetProtection sheet="1" objects="1" scenarios="1"/>
  <mergeCells count="5">
    <mergeCell ref="C64:E64"/>
    <mergeCell ref="A23:B23"/>
    <mergeCell ref="A60:E60"/>
    <mergeCell ref="A3:E3"/>
    <mergeCell ref="A63:B63"/>
  </mergeCells>
  <phoneticPr fontId="9" type="noConversion"/>
  <pageMargins left="0.75" right="0.75" top="1" bottom="1" header="0.5" footer="0.5"/>
  <pageSetup scale="51"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tabColor rgb="FF00B0F0"/>
    <pageSetUpPr fitToPage="1"/>
  </sheetPr>
  <dimension ref="A1:L45"/>
  <sheetViews>
    <sheetView topLeftCell="A13" workbookViewId="0">
      <selection activeCell="V41" sqref="V41"/>
    </sheetView>
  </sheetViews>
  <sheetFormatPr defaultRowHeight="15.75" x14ac:dyDescent="0.2"/>
  <cols>
    <col min="1" max="1" width="11.5546875" style="2" customWidth="1"/>
    <col min="2" max="2" width="7.44140625" style="2" customWidth="1"/>
    <col min="3" max="3" width="11.5546875" style="2" customWidth="1"/>
    <col min="4" max="4" width="7.44140625" style="2" customWidth="1"/>
    <col min="5" max="5" width="11.5546875" style="2" customWidth="1"/>
    <col min="6" max="6" width="7.44140625" style="2" customWidth="1"/>
    <col min="7" max="7" width="11.5546875" style="2" customWidth="1"/>
    <col min="8" max="8" width="7.44140625" style="2" customWidth="1"/>
    <col min="9" max="9" width="11.5546875" style="2" customWidth="1"/>
    <col min="10" max="16384" width="8.88671875" style="2"/>
  </cols>
  <sheetData>
    <row r="1" spans="1:11" x14ac:dyDescent="0.2">
      <c r="A1" s="57">
        <f>inputPrYr!$C$3</f>
        <v>0</v>
      </c>
      <c r="B1" s="207"/>
      <c r="C1" s="57"/>
      <c r="D1" s="57"/>
      <c r="E1" s="57"/>
      <c r="F1" s="208" t="s">
        <v>129</v>
      </c>
      <c r="G1" s="57"/>
      <c r="H1" s="57"/>
      <c r="I1" s="57"/>
      <c r="J1" s="57"/>
      <c r="K1" s="57">
        <f>inputPrYr!$C$6</f>
        <v>2023</v>
      </c>
    </row>
    <row r="2" spans="1:11" x14ac:dyDescent="0.2">
      <c r="A2" s="57"/>
      <c r="B2" s="57"/>
      <c r="C2" s="57"/>
      <c r="D2" s="57"/>
      <c r="E2" s="57"/>
      <c r="F2" s="209" t="str">
        <f>CONCATENATE("(Only the actual budget year for ",K1-2," is reported)")</f>
        <v>(Only the actual budget year for 2021 is reported)</v>
      </c>
      <c r="G2" s="57"/>
      <c r="H2" s="57"/>
      <c r="I2" s="57"/>
      <c r="J2" s="57"/>
      <c r="K2" s="57"/>
    </row>
    <row r="3" spans="1:11" x14ac:dyDescent="0.2">
      <c r="A3" s="57" t="s">
        <v>155</v>
      </c>
      <c r="B3" s="57"/>
      <c r="C3" s="57"/>
      <c r="D3" s="57"/>
      <c r="E3" s="57"/>
      <c r="F3" s="207"/>
      <c r="G3" s="57"/>
      <c r="H3" s="57"/>
      <c r="I3" s="57"/>
      <c r="J3" s="57"/>
      <c r="K3" s="57"/>
    </row>
    <row r="4" spans="1:11" x14ac:dyDescent="0.2">
      <c r="A4" s="57" t="s">
        <v>136</v>
      </c>
      <c r="B4" s="57"/>
      <c r="C4" s="57" t="s">
        <v>137</v>
      </c>
      <c r="D4" s="57"/>
      <c r="E4" s="57" t="s">
        <v>138</v>
      </c>
      <c r="F4" s="207"/>
      <c r="G4" s="57" t="s">
        <v>139</v>
      </c>
      <c r="H4" s="57"/>
      <c r="I4" s="57" t="s">
        <v>140</v>
      </c>
      <c r="J4" s="57"/>
      <c r="K4" s="57"/>
    </row>
    <row r="5" spans="1:11" x14ac:dyDescent="0.2">
      <c r="A5" s="916" t="str">
        <f>inputPrYr!$B59</f>
        <v>Insurance Reserve</v>
      </c>
      <c r="B5" s="917"/>
      <c r="C5" s="916">
        <f>inputPrYr!$B60</f>
        <v>0</v>
      </c>
      <c r="D5" s="917"/>
      <c r="E5" s="916">
        <f>inputPrYr!$B61</f>
        <v>0</v>
      </c>
      <c r="F5" s="917"/>
      <c r="G5" s="916">
        <f>inputPrYr!$B62</f>
        <v>0</v>
      </c>
      <c r="H5" s="917"/>
      <c r="I5" s="916">
        <f>inputPrYr!$B63</f>
        <v>0</v>
      </c>
      <c r="J5" s="917"/>
      <c r="K5" s="71"/>
    </row>
    <row r="6" spans="1:11" x14ac:dyDescent="0.2">
      <c r="A6" s="211" t="s">
        <v>124</v>
      </c>
      <c r="B6" s="212"/>
      <c r="C6" s="213" t="s">
        <v>124</v>
      </c>
      <c r="D6" s="214"/>
      <c r="E6" s="213" t="s">
        <v>124</v>
      </c>
      <c r="F6" s="215"/>
      <c r="G6" s="213" t="s">
        <v>124</v>
      </c>
      <c r="H6" s="210"/>
      <c r="I6" s="213" t="s">
        <v>124</v>
      </c>
      <c r="J6" s="57"/>
      <c r="K6" s="216" t="s">
        <v>247</v>
      </c>
    </row>
    <row r="7" spans="1:11" x14ac:dyDescent="0.2">
      <c r="A7" s="217" t="s">
        <v>123</v>
      </c>
      <c r="B7" s="218">
        <v>0</v>
      </c>
      <c r="C7" s="219" t="s">
        <v>123</v>
      </c>
      <c r="D7" s="218"/>
      <c r="E7" s="219" t="s">
        <v>123</v>
      </c>
      <c r="F7" s="218"/>
      <c r="G7" s="219" t="s">
        <v>123</v>
      </c>
      <c r="H7" s="218"/>
      <c r="I7" s="219" t="s">
        <v>123</v>
      </c>
      <c r="J7" s="218"/>
      <c r="K7" s="220">
        <f>SUM(B7+D7+F7+H7+J7)</f>
        <v>0</v>
      </c>
    </row>
    <row r="8" spans="1:11" x14ac:dyDescent="0.2">
      <c r="A8" s="221" t="s">
        <v>101</v>
      </c>
      <c r="B8" s="222"/>
      <c r="C8" s="221" t="s">
        <v>101</v>
      </c>
      <c r="D8" s="223"/>
      <c r="E8" s="221" t="s">
        <v>101</v>
      </c>
      <c r="F8" s="207"/>
      <c r="G8" s="221" t="s">
        <v>101</v>
      </c>
      <c r="H8" s="57"/>
      <c r="I8" s="221" t="s">
        <v>101</v>
      </c>
      <c r="J8" s="57"/>
      <c r="K8" s="207"/>
    </row>
    <row r="9" spans="1:11" x14ac:dyDescent="0.2">
      <c r="A9" s="224" t="s">
        <v>1130</v>
      </c>
      <c r="B9" s="218">
        <v>0</v>
      </c>
      <c r="C9" s="224"/>
      <c r="D9" s="218"/>
      <c r="E9" s="224"/>
      <c r="F9" s="218"/>
      <c r="G9" s="224"/>
      <c r="H9" s="218"/>
      <c r="I9" s="224"/>
      <c r="J9" s="218"/>
      <c r="K9" s="207"/>
    </row>
    <row r="10" spans="1:11" x14ac:dyDescent="0.2">
      <c r="A10" s="224"/>
      <c r="B10" s="218"/>
      <c r="C10" s="224"/>
      <c r="D10" s="218"/>
      <c r="E10" s="224"/>
      <c r="F10" s="218"/>
      <c r="G10" s="224"/>
      <c r="H10" s="218"/>
      <c r="I10" s="224"/>
      <c r="J10" s="218"/>
      <c r="K10" s="207"/>
    </row>
    <row r="11" spans="1:11" x14ac:dyDescent="0.2">
      <c r="A11" s="224"/>
      <c r="B11" s="218"/>
      <c r="C11" s="225"/>
      <c r="D11" s="226"/>
      <c r="E11" s="225"/>
      <c r="F11" s="226"/>
      <c r="G11" s="225"/>
      <c r="H11" s="226"/>
      <c r="I11" s="227"/>
      <c r="J11" s="218"/>
      <c r="K11" s="207"/>
    </row>
    <row r="12" spans="1:11" x14ac:dyDescent="0.2">
      <c r="A12" s="224"/>
      <c r="B12" s="228"/>
      <c r="C12" s="224"/>
      <c r="D12" s="229"/>
      <c r="E12" s="230"/>
      <c r="F12" s="229"/>
      <c r="G12" s="230"/>
      <c r="H12" s="229"/>
      <c r="I12" s="230"/>
      <c r="J12" s="218"/>
      <c r="K12" s="207"/>
    </row>
    <row r="13" spans="1:11" x14ac:dyDescent="0.2">
      <c r="A13" s="231"/>
      <c r="B13" s="232"/>
      <c r="C13" s="233"/>
      <c r="D13" s="232"/>
      <c r="E13" s="233"/>
      <c r="F13" s="232"/>
      <c r="G13" s="233"/>
      <c r="H13" s="232"/>
      <c r="I13" s="227"/>
      <c r="J13" s="218"/>
      <c r="K13" s="207"/>
    </row>
    <row r="14" spans="1:11" x14ac:dyDescent="0.2">
      <c r="A14" s="224"/>
      <c r="B14" s="218"/>
      <c r="C14" s="230"/>
      <c r="D14" s="229"/>
      <c r="E14" s="230"/>
      <c r="F14" s="229"/>
      <c r="G14" s="230"/>
      <c r="H14" s="229"/>
      <c r="I14" s="230"/>
      <c r="J14" s="218"/>
      <c r="K14" s="207"/>
    </row>
    <row r="15" spans="1:11" x14ac:dyDescent="0.2">
      <c r="A15" s="224"/>
      <c r="B15" s="218"/>
      <c r="C15" s="230"/>
      <c r="D15" s="229"/>
      <c r="E15" s="230"/>
      <c r="F15" s="229"/>
      <c r="G15" s="230"/>
      <c r="H15" s="229"/>
      <c r="I15" s="230"/>
      <c r="J15" s="218"/>
      <c r="K15" s="207"/>
    </row>
    <row r="16" spans="1:11" x14ac:dyDescent="0.2">
      <c r="A16" s="224"/>
      <c r="B16" s="232"/>
      <c r="C16" s="224"/>
      <c r="D16" s="232"/>
      <c r="E16" s="224"/>
      <c r="F16" s="218"/>
      <c r="G16" s="230"/>
      <c r="H16" s="232"/>
      <c r="I16" s="224"/>
      <c r="J16" s="229"/>
      <c r="K16" s="207"/>
    </row>
    <row r="17" spans="1:12" x14ac:dyDescent="0.2">
      <c r="A17" s="221" t="s">
        <v>27</v>
      </c>
      <c r="B17" s="220">
        <f>SUM(B9:B16)</f>
        <v>0</v>
      </c>
      <c r="C17" s="221" t="s">
        <v>27</v>
      </c>
      <c r="D17" s="234">
        <f>SUM(D9:D16)</f>
        <v>0</v>
      </c>
      <c r="E17" s="221" t="s">
        <v>27</v>
      </c>
      <c r="F17" s="235">
        <f>SUM(F9:F16)</f>
        <v>0</v>
      </c>
      <c r="G17" s="221" t="s">
        <v>27</v>
      </c>
      <c r="H17" s="234">
        <f>SUM(H9:H16)</f>
        <v>0</v>
      </c>
      <c r="I17" s="221" t="s">
        <v>27</v>
      </c>
      <c r="J17" s="234">
        <f>SUM(J9:J16)</f>
        <v>0</v>
      </c>
      <c r="K17" s="220">
        <f>SUM(B17+D17+F17+H17+J17)</f>
        <v>0</v>
      </c>
    </row>
    <row r="18" spans="1:12" x14ac:dyDescent="0.2">
      <c r="A18" s="221" t="s">
        <v>28</v>
      </c>
      <c r="B18" s="220">
        <f>SUM(B7+B17)</f>
        <v>0</v>
      </c>
      <c r="C18" s="221" t="s">
        <v>28</v>
      </c>
      <c r="D18" s="220">
        <f>SUM(D7+D17)</f>
        <v>0</v>
      </c>
      <c r="E18" s="221" t="s">
        <v>28</v>
      </c>
      <c r="F18" s="220">
        <f>SUM(F7+F17)</f>
        <v>0</v>
      </c>
      <c r="G18" s="221" t="s">
        <v>28</v>
      </c>
      <c r="H18" s="220">
        <f>SUM(H7+H17)</f>
        <v>0</v>
      </c>
      <c r="I18" s="221" t="s">
        <v>28</v>
      </c>
      <c r="J18" s="220">
        <f>SUM(J7+J17)</f>
        <v>0</v>
      </c>
      <c r="K18" s="220">
        <f>SUM(B18+D18+F18+H18+J18)</f>
        <v>0</v>
      </c>
    </row>
    <row r="19" spans="1:12" x14ac:dyDescent="0.2">
      <c r="A19" s="221" t="s">
        <v>30</v>
      </c>
      <c r="B19" s="222"/>
      <c r="C19" s="221" t="s">
        <v>30</v>
      </c>
      <c r="D19" s="223"/>
      <c r="E19" s="221" t="s">
        <v>30</v>
      </c>
      <c r="F19" s="207"/>
      <c r="G19" s="221" t="s">
        <v>30</v>
      </c>
      <c r="H19" s="57"/>
      <c r="I19" s="221" t="s">
        <v>30</v>
      </c>
      <c r="J19" s="57"/>
      <c r="K19" s="207"/>
    </row>
    <row r="20" spans="1:12" x14ac:dyDescent="0.2">
      <c r="A20" s="224" t="s">
        <v>1128</v>
      </c>
      <c r="B20" s="218">
        <v>0</v>
      </c>
      <c r="C20" s="230"/>
      <c r="D20" s="218"/>
      <c r="E20" s="230"/>
      <c r="F20" s="218"/>
      <c r="G20" s="230"/>
      <c r="H20" s="218"/>
      <c r="I20" s="230"/>
      <c r="J20" s="218"/>
      <c r="K20" s="207"/>
    </row>
    <row r="21" spans="1:12" x14ac:dyDescent="0.2">
      <c r="A21" s="224"/>
      <c r="B21" s="218"/>
      <c r="C21" s="230"/>
      <c r="D21" s="229"/>
      <c r="E21" s="230"/>
      <c r="F21" s="229"/>
      <c r="G21" s="230"/>
      <c r="H21" s="229"/>
      <c r="I21" s="230"/>
      <c r="J21" s="236"/>
      <c r="K21" s="207"/>
    </row>
    <row r="22" spans="1:12" x14ac:dyDescent="0.2">
      <c r="A22" s="224"/>
      <c r="B22" s="237"/>
      <c r="C22" s="233"/>
      <c r="D22" s="232"/>
      <c r="E22" s="233"/>
      <c r="F22" s="232"/>
      <c r="G22" s="233"/>
      <c r="H22" s="232"/>
      <c r="I22" s="227"/>
      <c r="J22" s="218"/>
      <c r="K22" s="207"/>
    </row>
    <row r="23" spans="1:12" x14ac:dyDescent="0.2">
      <c r="A23" s="224"/>
      <c r="B23" s="218"/>
      <c r="C23" s="230"/>
      <c r="D23" s="229"/>
      <c r="E23" s="230"/>
      <c r="F23" s="229"/>
      <c r="G23" s="230"/>
      <c r="H23" s="229"/>
      <c r="I23" s="230"/>
      <c r="J23" s="218"/>
      <c r="K23" s="207"/>
    </row>
    <row r="24" spans="1:12" x14ac:dyDescent="0.2">
      <c r="A24" s="224"/>
      <c r="B24" s="237"/>
      <c r="C24" s="233"/>
      <c r="D24" s="232"/>
      <c r="E24" s="233"/>
      <c r="F24" s="232"/>
      <c r="G24" s="233"/>
      <c r="H24" s="232"/>
      <c r="I24" s="227"/>
      <c r="J24" s="218"/>
      <c r="K24" s="207"/>
    </row>
    <row r="25" spans="1:12" x14ac:dyDescent="0.2">
      <c r="A25" s="224"/>
      <c r="B25" s="218"/>
      <c r="C25" s="230"/>
      <c r="D25" s="229"/>
      <c r="E25" s="230"/>
      <c r="F25" s="229"/>
      <c r="G25" s="230"/>
      <c r="H25" s="229"/>
      <c r="I25" s="230"/>
      <c r="J25" s="218"/>
      <c r="K25" s="207"/>
    </row>
    <row r="26" spans="1:12" x14ac:dyDescent="0.2">
      <c r="A26" s="224"/>
      <c r="B26" s="218"/>
      <c r="C26" s="230"/>
      <c r="D26" s="229"/>
      <c r="E26" s="230"/>
      <c r="F26" s="229"/>
      <c r="G26" s="230"/>
      <c r="H26" s="229"/>
      <c r="I26" s="230"/>
      <c r="J26" s="218"/>
      <c r="K26" s="207"/>
    </row>
    <row r="27" spans="1:12" x14ac:dyDescent="0.2">
      <c r="A27" s="224"/>
      <c r="B27" s="236"/>
      <c r="C27" s="224"/>
      <c r="D27" s="228"/>
      <c r="E27" s="224"/>
      <c r="F27" s="229"/>
      <c r="G27" s="230"/>
      <c r="H27" s="229"/>
      <c r="I27" s="230"/>
      <c r="J27" s="218"/>
      <c r="K27" s="207"/>
    </row>
    <row r="28" spans="1:12" x14ac:dyDescent="0.2">
      <c r="A28" s="221" t="s">
        <v>34</v>
      </c>
      <c r="B28" s="220">
        <f>SUM(B20:B27)</f>
        <v>0</v>
      </c>
      <c r="C28" s="221" t="s">
        <v>34</v>
      </c>
      <c r="D28" s="220">
        <f>SUM(D20:D27)</f>
        <v>0</v>
      </c>
      <c r="E28" s="221" t="s">
        <v>34</v>
      </c>
      <c r="F28" s="311">
        <f>SUM(F20:F27)</f>
        <v>0</v>
      </c>
      <c r="G28" s="221" t="s">
        <v>34</v>
      </c>
      <c r="H28" s="311">
        <f>SUM(H20:H27)</f>
        <v>0</v>
      </c>
      <c r="I28" s="221" t="s">
        <v>34</v>
      </c>
      <c r="J28" s="220">
        <f>SUM(J20:J27)</f>
        <v>0</v>
      </c>
      <c r="K28" s="220">
        <f>SUM(B28+D28+F28+H28+J28)</f>
        <v>0</v>
      </c>
    </row>
    <row r="29" spans="1:12" x14ac:dyDescent="0.2">
      <c r="A29" s="221" t="s">
        <v>123</v>
      </c>
      <c r="B29" s="220">
        <f>SUM(B18-B28)</f>
        <v>0</v>
      </c>
      <c r="C29" s="221" t="s">
        <v>123</v>
      </c>
      <c r="D29" s="220">
        <f>SUM(D18-D28)</f>
        <v>0</v>
      </c>
      <c r="E29" s="221" t="s">
        <v>123</v>
      </c>
      <c r="F29" s="220">
        <f>SUM(F18-F28)</f>
        <v>0</v>
      </c>
      <c r="G29" s="221" t="s">
        <v>123</v>
      </c>
      <c r="H29" s="220">
        <f>SUM(H18-H28)</f>
        <v>0</v>
      </c>
      <c r="I29" s="221" t="s">
        <v>123</v>
      </c>
      <c r="J29" s="220">
        <f>SUM(J18-J28)</f>
        <v>0</v>
      </c>
      <c r="K29" s="238">
        <f>SUM(B29+D29+F29+H29+J29)</f>
        <v>0</v>
      </c>
      <c r="L29" s="2" t="s">
        <v>177</v>
      </c>
    </row>
    <row r="30" spans="1:12" x14ac:dyDescent="0.2">
      <c r="A30" s="221"/>
      <c r="B30" s="261" t="str">
        <f>IF(B29&lt;0,"See Tab B","")</f>
        <v/>
      </c>
      <c r="C30" s="221"/>
      <c r="D30" s="261" t="str">
        <f>IF(D29&lt;0,"See Tab B","")</f>
        <v/>
      </c>
      <c r="E30" s="221"/>
      <c r="F30" s="261" t="str">
        <f>IF(F29&lt;0,"See Tab B","")</f>
        <v/>
      </c>
      <c r="G30" s="57"/>
      <c r="H30" s="261" t="str">
        <f>IF(H29&lt;0,"See Tab B","")</f>
        <v/>
      </c>
      <c r="I30" s="57"/>
      <c r="J30" s="261" t="str">
        <f>IF(J29&lt;0,"See Tab B","")</f>
        <v/>
      </c>
      <c r="K30" s="238">
        <f>SUM(K7+K17-K28)</f>
        <v>0</v>
      </c>
      <c r="L30" s="2" t="s">
        <v>177</v>
      </c>
    </row>
    <row r="31" spans="1:12" x14ac:dyDescent="0.2">
      <c r="A31" s="57"/>
      <c r="B31" s="239"/>
      <c r="C31" s="57"/>
      <c r="D31" s="207"/>
      <c r="E31" s="57"/>
      <c r="F31" s="57"/>
      <c r="G31" s="57"/>
      <c r="H31" s="915" t="s">
        <v>968</v>
      </c>
      <c r="I31" s="915"/>
      <c r="J31" s="915"/>
      <c r="K31" s="915"/>
    </row>
    <row r="32" spans="1:12" x14ac:dyDescent="0.2">
      <c r="A32" s="57"/>
      <c r="B32" s="239"/>
      <c r="C32" s="57"/>
      <c r="D32" s="207"/>
      <c r="E32" s="57"/>
      <c r="F32" s="57"/>
      <c r="G32" s="57"/>
      <c r="H32" s="57"/>
      <c r="I32" s="57"/>
      <c r="J32" s="57"/>
      <c r="K32" s="57"/>
    </row>
    <row r="33" spans="1:11" x14ac:dyDescent="0.2">
      <c r="A33" s="729" t="s">
        <v>840</v>
      </c>
      <c r="B33" s="713"/>
      <c r="C33" s="714"/>
      <c r="D33" s="715"/>
      <c r="E33" s="714"/>
      <c r="F33" s="714"/>
      <c r="G33" s="714"/>
      <c r="H33" s="714"/>
      <c r="I33" s="714"/>
      <c r="J33" s="714"/>
      <c r="K33" s="716"/>
    </row>
    <row r="34" spans="1:11" x14ac:dyDescent="0.2">
      <c r="A34" s="717"/>
      <c r="B34" s="718"/>
      <c r="C34" s="719"/>
      <c r="D34" s="720"/>
      <c r="E34" s="719"/>
      <c r="F34" s="719"/>
      <c r="G34" s="719"/>
      <c r="H34" s="719"/>
      <c r="I34" s="719"/>
      <c r="J34" s="719"/>
      <c r="K34" s="721"/>
    </row>
    <row r="35" spans="1:11" x14ac:dyDescent="0.2">
      <c r="A35" s="722"/>
      <c r="B35" s="723"/>
      <c r="C35" s="71"/>
      <c r="D35" s="258"/>
      <c r="E35" s="71"/>
      <c r="F35" s="71"/>
      <c r="G35" s="71"/>
      <c r="H35" s="71"/>
      <c r="I35" s="71"/>
      <c r="J35" s="71"/>
      <c r="K35" s="724"/>
    </row>
    <row r="36" spans="1:11" x14ac:dyDescent="0.2">
      <c r="A36" s="57"/>
      <c r="B36" s="239"/>
      <c r="C36" s="57"/>
      <c r="D36" s="57"/>
      <c r="E36" s="57"/>
      <c r="F36" s="57"/>
      <c r="G36" s="57"/>
      <c r="H36" s="57"/>
      <c r="I36" s="57"/>
      <c r="J36" s="57"/>
      <c r="K36" s="57"/>
    </row>
    <row r="37" spans="1:11" x14ac:dyDescent="0.2">
      <c r="A37" s="57"/>
      <c r="B37" s="239"/>
      <c r="C37" s="57"/>
      <c r="D37" s="57"/>
      <c r="E37" s="185" t="s">
        <v>37</v>
      </c>
      <c r="F37" s="600">
        <v>22</v>
      </c>
      <c r="G37" s="57"/>
      <c r="H37" s="57"/>
      <c r="I37" s="57"/>
      <c r="J37" s="57"/>
      <c r="K37" s="57"/>
    </row>
    <row r="38" spans="1:11" x14ac:dyDescent="0.2">
      <c r="B38" s="240"/>
    </row>
    <row r="39" spans="1:11" x14ac:dyDescent="0.2">
      <c r="B39" s="240"/>
    </row>
    <row r="40" spans="1:11" x14ac:dyDescent="0.2">
      <c r="B40" s="240"/>
    </row>
    <row r="41" spans="1:11" x14ac:dyDescent="0.2">
      <c r="B41" s="240"/>
    </row>
    <row r="42" spans="1:11" x14ac:dyDescent="0.2">
      <c r="B42" s="240"/>
    </row>
    <row r="43" spans="1:11" x14ac:dyDescent="0.2">
      <c r="B43" s="240"/>
    </row>
    <row r="44" spans="1:11" x14ac:dyDescent="0.2">
      <c r="B44" s="240"/>
    </row>
    <row r="45" spans="1:11" x14ac:dyDescent="0.2">
      <c r="B45" s="240"/>
    </row>
  </sheetData>
  <sheetProtection sheet="1" objects="1" scenarios="1"/>
  <mergeCells count="6">
    <mergeCell ref="H31:K31"/>
    <mergeCell ref="I5:J5"/>
    <mergeCell ref="A5:B5"/>
    <mergeCell ref="C5:D5"/>
    <mergeCell ref="E5:F5"/>
    <mergeCell ref="G5:H5"/>
  </mergeCells>
  <phoneticPr fontId="9" type="noConversion"/>
  <pageMargins left="0.75" right="0.75" top="1" bottom="1" header="0.5" footer="0.5"/>
  <pageSetup scale="88" orientation="landscape" blackAndWhite="1" r:id="rId1"/>
  <headerFooter alignWithMargins="0">
    <oddHeader>&amp;RState of Kansas
City</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A66"/>
  <sheetViews>
    <sheetView workbookViewId="0">
      <selection activeCell="I27" sqref="I27"/>
    </sheetView>
  </sheetViews>
  <sheetFormatPr defaultRowHeight="15" x14ac:dyDescent="0.2"/>
  <cols>
    <col min="1" max="1" width="70.5546875" style="54" customWidth="1"/>
    <col min="2" max="16384" width="8.88671875" style="54"/>
  </cols>
  <sheetData>
    <row r="1" spans="1:1" ht="18.75" x14ac:dyDescent="0.3">
      <c r="A1" s="385" t="s">
        <v>280</v>
      </c>
    </row>
    <row r="2" spans="1:1" ht="15.75" x14ac:dyDescent="0.25">
      <c r="A2" s="1"/>
    </row>
    <row r="3" spans="1:1" ht="57" customHeight="1" x14ac:dyDescent="0.25">
      <c r="A3" s="386" t="s">
        <v>589</v>
      </c>
    </row>
    <row r="4" spans="1:1" ht="15.75" x14ac:dyDescent="0.25">
      <c r="A4" s="387"/>
    </row>
    <row r="5" spans="1:1" ht="15.75" x14ac:dyDescent="0.25">
      <c r="A5" s="1"/>
    </row>
    <row r="6" spans="1:1" ht="44.25" customHeight="1" x14ac:dyDescent="0.25">
      <c r="A6" s="386" t="s">
        <v>590</v>
      </c>
    </row>
    <row r="7" spans="1:1" ht="15.75" x14ac:dyDescent="0.25">
      <c r="A7" s="1"/>
    </row>
    <row r="8" spans="1:1" ht="15.75" x14ac:dyDescent="0.25">
      <c r="A8" s="387"/>
    </row>
    <row r="9" spans="1:1" ht="46.5" customHeight="1" x14ac:dyDescent="0.25">
      <c r="A9" s="386" t="s">
        <v>591</v>
      </c>
    </row>
    <row r="10" spans="1:1" ht="15.75" x14ac:dyDescent="0.25">
      <c r="A10" s="1"/>
    </row>
    <row r="11" spans="1:1" ht="15.75" x14ac:dyDescent="0.25">
      <c r="A11" s="387"/>
    </row>
    <row r="12" spans="1:1" ht="60" customHeight="1" x14ac:dyDescent="0.25">
      <c r="A12" s="386" t="s">
        <v>592</v>
      </c>
    </row>
    <row r="13" spans="1:1" ht="15.75" x14ac:dyDescent="0.25">
      <c r="A13" s="1"/>
    </row>
    <row r="14" spans="1:1" ht="15.75" x14ac:dyDescent="0.25">
      <c r="A14" s="1"/>
    </row>
    <row r="15" spans="1:1" ht="61.5" customHeight="1" x14ac:dyDescent="0.25">
      <c r="A15" s="386" t="s">
        <v>593</v>
      </c>
    </row>
    <row r="16" spans="1:1" ht="15.75" x14ac:dyDescent="0.25">
      <c r="A16" s="1"/>
    </row>
    <row r="17" spans="1:1" ht="15.75" x14ac:dyDescent="0.25">
      <c r="A17" s="1"/>
    </row>
    <row r="18" spans="1:1" ht="59.25" customHeight="1" x14ac:dyDescent="0.25">
      <c r="A18" s="386" t="s">
        <v>594</v>
      </c>
    </row>
    <row r="19" spans="1:1" ht="15.75" x14ac:dyDescent="0.25">
      <c r="A19" s="1"/>
    </row>
    <row r="20" spans="1:1" ht="15.75" x14ac:dyDescent="0.25">
      <c r="A20" s="1"/>
    </row>
    <row r="21" spans="1:1" ht="61.5" customHeight="1" x14ac:dyDescent="0.25">
      <c r="A21" s="386" t="s">
        <v>595</v>
      </c>
    </row>
    <row r="22" spans="1:1" ht="15.75" x14ac:dyDescent="0.25">
      <c r="A22" s="387"/>
    </row>
    <row r="23" spans="1:1" ht="15.75" x14ac:dyDescent="0.25">
      <c r="A23" s="387"/>
    </row>
    <row r="24" spans="1:1" ht="63" customHeight="1" x14ac:dyDescent="0.25">
      <c r="A24" s="386" t="s">
        <v>596</v>
      </c>
    </row>
    <row r="25" spans="1:1" ht="15.75" x14ac:dyDescent="0.25">
      <c r="A25" s="1"/>
    </row>
    <row r="26" spans="1:1" ht="15.75" x14ac:dyDescent="0.25">
      <c r="A26" s="1"/>
    </row>
    <row r="27" spans="1:1" ht="52.5" customHeight="1" x14ac:dyDescent="0.25">
      <c r="A27" s="388" t="s">
        <v>597</v>
      </c>
    </row>
    <row r="28" spans="1:1" ht="15.75" x14ac:dyDescent="0.25">
      <c r="A28" s="1"/>
    </row>
    <row r="29" spans="1:1" ht="15.75" x14ac:dyDescent="0.25">
      <c r="A29" s="1"/>
    </row>
    <row r="30" spans="1:1" ht="44.25" customHeight="1" x14ac:dyDescent="0.25">
      <c r="A30" s="386" t="s">
        <v>598</v>
      </c>
    </row>
    <row r="31" spans="1:1" ht="15.75" x14ac:dyDescent="0.25">
      <c r="A31" s="1"/>
    </row>
    <row r="32" spans="1:1" ht="15.75" x14ac:dyDescent="0.25">
      <c r="A32" s="1"/>
    </row>
    <row r="33" spans="1:1" ht="42.75" customHeight="1" x14ac:dyDescent="0.25">
      <c r="A33" s="386" t="s">
        <v>599</v>
      </c>
    </row>
    <row r="34" spans="1:1" ht="15.75" x14ac:dyDescent="0.25">
      <c r="A34" s="387"/>
    </row>
    <row r="35" spans="1:1" ht="15.75" x14ac:dyDescent="0.25">
      <c r="A35" s="387"/>
    </row>
    <row r="36" spans="1:1" ht="38.25" customHeight="1" x14ac:dyDescent="0.25">
      <c r="A36" s="386" t="s">
        <v>600</v>
      </c>
    </row>
    <row r="37" spans="1:1" ht="15.75" x14ac:dyDescent="0.25">
      <c r="A37" s="387"/>
    </row>
    <row r="38" spans="1:1" ht="15.75" x14ac:dyDescent="0.25">
      <c r="A38" s="1"/>
    </row>
    <row r="39" spans="1:1" ht="75.75" customHeight="1" x14ac:dyDescent="0.25">
      <c r="A39" s="386" t="s">
        <v>601</v>
      </c>
    </row>
    <row r="40" spans="1:1" ht="15.75" x14ac:dyDescent="0.25">
      <c r="A40" s="1"/>
    </row>
    <row r="41" spans="1:1" ht="15.75" x14ac:dyDescent="0.25">
      <c r="A41" s="1"/>
    </row>
    <row r="42" spans="1:1" ht="57.75" customHeight="1" x14ac:dyDescent="0.25">
      <c r="A42" s="386" t="s">
        <v>602</v>
      </c>
    </row>
    <row r="43" spans="1:1" ht="15.75" x14ac:dyDescent="0.25">
      <c r="A43" s="387"/>
    </row>
    <row r="44" spans="1:1" ht="15.75" x14ac:dyDescent="0.25">
      <c r="A44" s="1"/>
    </row>
    <row r="45" spans="1:1" ht="57.75" customHeight="1" x14ac:dyDescent="0.25">
      <c r="A45" s="386" t="s">
        <v>603</v>
      </c>
    </row>
    <row r="46" spans="1:1" ht="15.75" x14ac:dyDescent="0.25">
      <c r="A46" s="1"/>
    </row>
    <row r="47" spans="1:1" ht="15.75" x14ac:dyDescent="0.25">
      <c r="A47" s="1"/>
    </row>
    <row r="48" spans="1:1" ht="41.25" customHeight="1" x14ac:dyDescent="0.25">
      <c r="A48" s="386" t="s">
        <v>604</v>
      </c>
    </row>
    <row r="49" spans="1:1" ht="15.75" x14ac:dyDescent="0.25">
      <c r="A49" s="1"/>
    </row>
    <row r="50" spans="1:1" ht="15.75" x14ac:dyDescent="0.25">
      <c r="A50" s="1"/>
    </row>
    <row r="51" spans="1:1" ht="75" customHeight="1" x14ac:dyDescent="0.25">
      <c r="A51" s="386" t="s">
        <v>605</v>
      </c>
    </row>
    <row r="52" spans="1:1" ht="15.75" x14ac:dyDescent="0.25">
      <c r="A52" s="387"/>
    </row>
    <row r="53" spans="1:1" ht="15.75" x14ac:dyDescent="0.25">
      <c r="A53" s="387"/>
    </row>
    <row r="54" spans="1:1" ht="57.75" customHeight="1" x14ac:dyDescent="0.25">
      <c r="A54" s="386" t="s">
        <v>606</v>
      </c>
    </row>
    <row r="55" spans="1:1" ht="15.75" x14ac:dyDescent="0.25">
      <c r="A55" s="1"/>
    </row>
    <row r="56" spans="1:1" ht="15.75" x14ac:dyDescent="0.25">
      <c r="A56" s="1"/>
    </row>
    <row r="57" spans="1:1" ht="44.25" customHeight="1" x14ac:dyDescent="0.25">
      <c r="A57" s="386" t="s">
        <v>607</v>
      </c>
    </row>
    <row r="58" spans="1:1" ht="15.75" x14ac:dyDescent="0.25">
      <c r="A58" s="1"/>
    </row>
    <row r="59" spans="1:1" ht="15.75" x14ac:dyDescent="0.25">
      <c r="A59" s="1"/>
    </row>
    <row r="60" spans="1:1" ht="60" customHeight="1" x14ac:dyDescent="0.25">
      <c r="A60" s="386" t="s">
        <v>608</v>
      </c>
    </row>
    <row r="61" spans="1:1" ht="15.75" x14ac:dyDescent="0.25">
      <c r="A61" s="387"/>
    </row>
    <row r="62" spans="1:1" ht="15.75" x14ac:dyDescent="0.25">
      <c r="A62" s="387"/>
    </row>
    <row r="63" spans="1:1" ht="57.75" customHeight="1" x14ac:dyDescent="0.25">
      <c r="A63" s="386" t="s">
        <v>609</v>
      </c>
    </row>
    <row r="64" spans="1:1" ht="15.75" x14ac:dyDescent="0.25">
      <c r="A64" s="1"/>
    </row>
    <row r="65" spans="1:1" ht="15.75" x14ac:dyDescent="0.25">
      <c r="A65" s="1"/>
    </row>
    <row r="66" spans="1:1" ht="60" customHeight="1" x14ac:dyDescent="0.25">
      <c r="A66" s="386" t="s">
        <v>610</v>
      </c>
    </row>
  </sheetData>
  <sheetProtection sheet="1" objects="1" scenarios="1"/>
  <pageMargins left="0.7" right="0.7" top="0.75" bottom="0.75" header="0.3" footer="0.3"/>
  <pageSetup orientation="portrait" r:id="rId1"/>
  <headerFooter>
    <oddFooter>&amp;Lrevised 10/2/09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4">
    <tabColor rgb="FF00B0F0"/>
    <pageSetUpPr fitToPage="1"/>
  </sheetPr>
  <dimension ref="A1:M63"/>
  <sheetViews>
    <sheetView topLeftCell="A22" zoomScale="75" workbookViewId="0">
      <selection activeCell="U65" sqref="U65"/>
    </sheetView>
  </sheetViews>
  <sheetFormatPr defaultRowHeight="15.75" x14ac:dyDescent="0.2"/>
  <cols>
    <col min="1" max="1" width="20.77734375" style="2" customWidth="1"/>
    <col min="2" max="2" width="14.109375" style="2" customWidth="1"/>
    <col min="3" max="3" width="10.77734375" style="2" customWidth="1"/>
    <col min="4" max="4" width="14" style="2" customWidth="1"/>
    <col min="5" max="5" width="10.77734375" style="2" customWidth="1"/>
    <col min="6" max="6" width="15.77734375" style="2" customWidth="1"/>
    <col min="7" max="7" width="13.77734375" style="2" customWidth="1"/>
    <col min="8" max="8" width="10.33203125" style="2" customWidth="1"/>
    <col min="9" max="9" width="8.88671875" style="2" customWidth="1"/>
    <col min="10" max="10" width="12.44140625" style="2" customWidth="1"/>
    <col min="11" max="11" width="12.33203125" style="2" customWidth="1"/>
    <col min="12" max="12" width="10.5546875" style="2" customWidth="1"/>
    <col min="13" max="13" width="12.109375" style="2" customWidth="1"/>
    <col min="14" max="16384" width="8.88671875" style="2"/>
  </cols>
  <sheetData>
    <row r="1" spans="1:9" x14ac:dyDescent="0.2">
      <c r="A1" s="57"/>
      <c r="B1" s="57"/>
      <c r="C1" s="57"/>
      <c r="D1" s="57"/>
      <c r="E1" s="57"/>
      <c r="F1" s="57"/>
      <c r="G1" s="57"/>
      <c r="H1" s="57">
        <f>inputPrYr!$C$6</f>
        <v>2023</v>
      </c>
    </row>
    <row r="2" spans="1:9" x14ac:dyDescent="0.2">
      <c r="A2" s="942" t="s">
        <v>81</v>
      </c>
      <c r="B2" s="942"/>
      <c r="C2" s="942"/>
      <c r="D2" s="942"/>
      <c r="E2" s="942"/>
      <c r="F2" s="942"/>
      <c r="G2" s="942"/>
      <c r="H2" s="942"/>
      <c r="I2" s="241"/>
    </row>
    <row r="3" spans="1:9" x14ac:dyDescent="0.2">
      <c r="A3" s="6"/>
      <c r="B3" s="6"/>
      <c r="C3" s="6"/>
      <c r="D3" s="6"/>
      <c r="E3" s="6"/>
      <c r="F3" s="6"/>
      <c r="G3" s="6"/>
      <c r="H3" s="6"/>
    </row>
    <row r="4" spans="1:9" x14ac:dyDescent="0.2">
      <c r="A4" s="842" t="s">
        <v>40</v>
      </c>
      <c r="B4" s="842"/>
      <c r="C4" s="842"/>
      <c r="D4" s="842"/>
      <c r="E4" s="842"/>
      <c r="F4" s="842"/>
      <c r="G4" s="842"/>
      <c r="H4" s="842"/>
    </row>
    <row r="5" spans="1:9" x14ac:dyDescent="0.2">
      <c r="A5" s="811" t="str">
        <f>inputPrYr!D3</f>
        <v>Valley Falls</v>
      </c>
      <c r="B5" s="811"/>
      <c r="C5" s="811"/>
      <c r="D5" s="811"/>
      <c r="E5" s="811"/>
      <c r="F5" s="811"/>
      <c r="G5" s="811"/>
      <c r="H5" s="811"/>
    </row>
    <row r="6" spans="1:9" x14ac:dyDescent="0.25">
      <c r="A6" s="944" t="str">
        <f>CONCATENATE("will meet on ",inputHearing!B18," at ",inputHearing!B20," at ",inputHearing!B22," for the purpose of hearing and")</f>
        <v>will meet on September 14, 2022 at 6:30 PM at City Hall - 417 Broadway St, Valley Falls, KS 66088 for the purpose of hearing and</v>
      </c>
      <c r="B6" s="944"/>
      <c r="C6" s="944"/>
      <c r="D6" s="944"/>
      <c r="E6" s="944"/>
      <c r="F6" s="944"/>
      <c r="G6" s="944"/>
      <c r="H6" s="944"/>
    </row>
    <row r="7" spans="1:9" x14ac:dyDescent="0.2">
      <c r="A7" s="842" t="s">
        <v>985</v>
      </c>
      <c r="B7" s="842"/>
      <c r="C7" s="842"/>
      <c r="D7" s="842"/>
      <c r="E7" s="842"/>
      <c r="F7" s="842"/>
      <c r="G7" s="842"/>
      <c r="H7" s="842"/>
    </row>
    <row r="8" spans="1:9" x14ac:dyDescent="0.2">
      <c r="A8" s="943" t="str">
        <f>CONCATENATE("Detailed budget information is available at ",inputHearing!B24," and will be available at this hearing.")</f>
        <v>Detailed budget information is available at City Hall and will be available at this hearing.</v>
      </c>
      <c r="B8" s="943"/>
      <c r="C8" s="943"/>
      <c r="D8" s="943"/>
      <c r="E8" s="943"/>
      <c r="F8" s="943"/>
      <c r="G8" s="943"/>
      <c r="H8" s="943"/>
    </row>
    <row r="9" spans="1:9" x14ac:dyDescent="0.2">
      <c r="A9" s="12" t="s">
        <v>82</v>
      </c>
      <c r="B9" s="13"/>
      <c r="C9" s="13"/>
      <c r="D9" s="13"/>
      <c r="E9" s="13"/>
      <c r="F9" s="13"/>
      <c r="G9" s="13"/>
      <c r="H9" s="13"/>
    </row>
    <row r="10" spans="1:9" x14ac:dyDescent="0.2">
      <c r="A10" s="14" t="str">
        <f>CONCATENATE("Proposed Budget ",H1," Expenditures and Amount of  ",H1-1," Ad Valorem Tax establish the maximum limits of the ",H1," budget.")</f>
        <v>Proposed Budget 2023 Expenditures and Amount of  2022 Ad Valorem Tax establish the maximum limits of the 2023 budget.</v>
      </c>
      <c r="B10" s="13"/>
      <c r="C10" s="13"/>
      <c r="D10" s="13"/>
      <c r="E10" s="13"/>
      <c r="F10" s="13"/>
      <c r="G10" s="13"/>
      <c r="H10" s="13"/>
    </row>
    <row r="11" spans="1:9" x14ac:dyDescent="0.2">
      <c r="A11" s="14" t="s">
        <v>105</v>
      </c>
      <c r="B11" s="13"/>
      <c r="C11" s="13"/>
      <c r="D11" s="13"/>
      <c r="E11" s="13"/>
      <c r="F11" s="13"/>
      <c r="G11" s="13"/>
      <c r="H11" s="13"/>
    </row>
    <row r="12" spans="1:9" x14ac:dyDescent="0.2">
      <c r="A12" s="6"/>
      <c r="B12" s="197"/>
      <c r="C12" s="197"/>
      <c r="D12" s="197"/>
      <c r="E12" s="197"/>
      <c r="F12" s="197"/>
      <c r="G12" s="197"/>
      <c r="H12" s="197"/>
    </row>
    <row r="13" spans="1:9" x14ac:dyDescent="0.2">
      <c r="A13" s="6"/>
      <c r="B13" s="242" t="str">
        <f>CONCATENATE("Prior Year Actual for ",H1-2,"")</f>
        <v>Prior Year Actual for 2021</v>
      </c>
      <c r="C13" s="86"/>
      <c r="D13" s="242" t="str">
        <f>CONCATENATE("Current Year Estimate for ",H1-1,"")</f>
        <v>Current Year Estimate for 2022</v>
      </c>
      <c r="E13" s="86"/>
      <c r="F13" s="84" t="str">
        <f>CONCATENATE("Proposed Budget for ",H1,"")</f>
        <v>Proposed Budget for 2023</v>
      </c>
      <c r="G13" s="85"/>
      <c r="H13" s="86"/>
    </row>
    <row r="14" spans="1:9" ht="35.25" customHeight="1" x14ac:dyDescent="0.2">
      <c r="A14" s="6"/>
      <c r="B14" s="920" t="s">
        <v>43</v>
      </c>
      <c r="C14" s="918" t="s">
        <v>974</v>
      </c>
      <c r="D14" s="920" t="s">
        <v>43</v>
      </c>
      <c r="E14" s="918" t="s">
        <v>974</v>
      </c>
      <c r="F14" s="922" t="s">
        <v>975</v>
      </c>
      <c r="G14" s="918" t="str">
        <f>CONCATENATE("Amount of ", H1-1," Ad Valorem Tax ")</f>
        <v xml:space="preserve">Amount of 2022 Ad Valorem Tax </v>
      </c>
      <c r="H14" s="918" t="s">
        <v>976</v>
      </c>
    </row>
    <row r="15" spans="1:9" x14ac:dyDescent="0.2">
      <c r="A15" s="23" t="s">
        <v>42</v>
      </c>
      <c r="B15" s="921"/>
      <c r="C15" s="919"/>
      <c r="D15" s="921"/>
      <c r="E15" s="919"/>
      <c r="F15" s="923"/>
      <c r="G15" s="919"/>
      <c r="H15" s="919"/>
    </row>
    <row r="16" spans="1:9" x14ac:dyDescent="0.2">
      <c r="A16" s="41" t="str">
        <f>inputPrYr!B19</f>
        <v>General</v>
      </c>
      <c r="B16" s="139">
        <f>IF(General!$C$107&lt;&gt;0,General!$C$107,"  ")</f>
        <v>620458</v>
      </c>
      <c r="C16" s="35">
        <f>IF(inputPrYr!D66&gt;0,inputPrYr!D66,"  ")</f>
        <v>38.761000000000003</v>
      </c>
      <c r="D16" s="139">
        <f>IF(General!$D$107&lt;&gt;0,General!$D$107,"  ")</f>
        <v>686131</v>
      </c>
      <c r="E16" s="35">
        <f>IF(inputOth!D24&gt;0,inputOth!D24,"  ")</f>
        <v>38.04</v>
      </c>
      <c r="F16" s="139">
        <f>IF(General!$E$107&lt;&gt;0,General!$E$107,"  ")</f>
        <v>729701</v>
      </c>
      <c r="G16" s="139">
        <f>IF(General!$E$114&lt;&gt;0,General!$E$114,"  ")</f>
        <v>217110</v>
      </c>
      <c r="H16" s="35">
        <f>IF(General!E114&gt;0,ROUND(G16/$F$49*1000,3),"  ")</f>
        <v>29.513999999999999</v>
      </c>
    </row>
    <row r="17" spans="1:13" x14ac:dyDescent="0.2">
      <c r="A17" s="41" t="str">
        <f>IF(inputPrYr!$B20&gt;"  ",(inputPrYr!$B20),"  ")</f>
        <v>Debt Service</v>
      </c>
      <c r="B17" s="139" t="str">
        <f>IF('DebtSvs-Library'!C35&lt;&gt;0,'DebtSvs-Library'!C35,"  ")</f>
        <v xml:space="preserve">  </v>
      </c>
      <c r="C17" s="35" t="str">
        <f>IF(inputPrYr!D67&gt;0,inputPrYr!D67,"  ")</f>
        <v xml:space="preserve">  </v>
      </c>
      <c r="D17" s="139" t="str">
        <f>IF('DebtSvs-Library'!D35&lt;&gt;0,'DebtSvs-Library'!D35,"  ")</f>
        <v xml:space="preserve">  </v>
      </c>
      <c r="E17" s="35" t="str">
        <f>IF(inputOth!D25&gt;0,inputOth!D25,"  ")</f>
        <v xml:space="preserve">  </v>
      </c>
      <c r="F17" s="139" t="str">
        <f>IF('DebtSvs-Library'!E35&lt;&gt;0,'DebtSvs-Library'!E35,"  ")</f>
        <v xml:space="preserve">  </v>
      </c>
      <c r="G17" s="139" t="str">
        <f>IF('DebtSvs-Library'!E42&lt;&gt;0,'DebtSvs-Library'!E42," ")</f>
        <v xml:space="preserve"> </v>
      </c>
      <c r="H17" s="35" t="str">
        <f>IF('DebtSvs-Library'!E42&gt;0,ROUND(G17/$F$49*1000,3)," ")</f>
        <v xml:space="preserve"> </v>
      </c>
    </row>
    <row r="18" spans="1:13" x14ac:dyDescent="0.2">
      <c r="A18" s="41" t="str">
        <f>IF(inputPrYr!$B21&gt;"  ",(inputPrYr!$B21),"  ")</f>
        <v>Library</v>
      </c>
      <c r="B18" s="139" t="str">
        <f>IF('DebtSvs-Library'!C74&lt;&gt;0,'DebtSvs-Library'!C74,"  ")</f>
        <v xml:space="preserve">  </v>
      </c>
      <c r="C18" s="35" t="str">
        <f>IF(inputPrYr!D68&gt;0,inputPrYr!D68,"  ")</f>
        <v xml:space="preserve">  </v>
      </c>
      <c r="D18" s="139" t="str">
        <f>IF('DebtSvs-Library'!D74&lt;&gt;0,'DebtSvs-Library'!D74,"  ")</f>
        <v xml:space="preserve">  </v>
      </c>
      <c r="E18" s="35" t="str">
        <f>IF(inputOth!D26&gt;0,inputOth!D26,"  ")</f>
        <v xml:space="preserve">  </v>
      </c>
      <c r="F18" s="139" t="str">
        <f>IF('DebtSvs-Library'!E74&lt;&gt;0,'DebtSvs-Library'!E74,"  ")</f>
        <v xml:space="preserve">  </v>
      </c>
      <c r="G18" s="139" t="str">
        <f>IF('DebtSvs-Library'!E81&lt;&gt;0,'DebtSvs-Library'!E81," ")</f>
        <v xml:space="preserve"> </v>
      </c>
      <c r="H18" s="35" t="str">
        <f>IF('DebtSvs-Library'!E81&gt;0,ROUND(G18/$F$49*1000,3)," ")</f>
        <v xml:space="preserve"> </v>
      </c>
    </row>
    <row r="19" spans="1:13" x14ac:dyDescent="0.2">
      <c r="A19" s="41" t="str">
        <f>IF(inputPrYr!$B23&gt;"  ",(inputPrYr!$B23),"  ")</f>
        <v>Bond &amp; Interest</v>
      </c>
      <c r="B19" s="139">
        <f>IF('Bond &amp; Interest'!$C$33&gt;0,'Bond &amp; Interest'!$C$33,"  ")</f>
        <v>106867</v>
      </c>
      <c r="C19" s="35" t="str">
        <f>IF(inputPrYr!D69&gt;0,inputPrYr!D69,"  ")</f>
        <v xml:space="preserve">  </v>
      </c>
      <c r="D19" s="139">
        <f>IF('Bond &amp; Interest'!$D$33&gt;0,'Bond &amp; Interest'!$D$33,"  ")</f>
        <v>108000</v>
      </c>
      <c r="E19" s="35" t="str">
        <f>IF(inputOth!D27&gt;0,inputOth!D27,"  ")</f>
        <v xml:space="preserve">  </v>
      </c>
      <c r="F19" s="139">
        <f>IF('Bond &amp; Interest'!$E$33&gt;0,'Bond &amp; Interest'!$E$33,"  ")</f>
        <v>182393</v>
      </c>
      <c r="G19" s="139" t="str">
        <f>IF('Bond &amp; Interest'!$E$40&lt;&gt;0,'Bond &amp; Interest'!$E$40,"  ")</f>
        <v xml:space="preserve">  </v>
      </c>
      <c r="H19" s="35" t="str">
        <f>IF('Bond &amp; Interest'!E40&lt;&gt;0,ROUND(G19/$F$49*1000,3),"  ")</f>
        <v xml:space="preserve">  </v>
      </c>
    </row>
    <row r="20" spans="1:13" x14ac:dyDescent="0.2">
      <c r="A20" s="41" t="str">
        <f>IF(inputPrYr!$B24&gt;"  ",(inputPrYr!$B24),"  ")</f>
        <v xml:space="preserve">  </v>
      </c>
      <c r="B20" s="139" t="str">
        <f>IF('Bond &amp; Interest'!$C$75&gt;0,'Bond &amp; Interest'!$C$75,"  ")</f>
        <v xml:space="preserve">  </v>
      </c>
      <c r="C20" s="35" t="str">
        <f>IF(inputPrYr!D70&gt;0,inputPrYr!D70,"  ")</f>
        <v xml:space="preserve">  </v>
      </c>
      <c r="D20" s="139" t="str">
        <f>IF('Bond &amp; Interest'!$D$75&gt;0,'Bond &amp; Interest'!$D$75,"  ")</f>
        <v xml:space="preserve">  </v>
      </c>
      <c r="E20" s="35" t="str">
        <f>IF(inputOth!D28&gt;0,inputOth!D28,"  ")</f>
        <v xml:space="preserve">  </v>
      </c>
      <c r="F20" s="139" t="str">
        <f>IF('Bond &amp; Interest'!$E$75&gt;0,'Bond &amp; Interest'!$E$75,"  ")</f>
        <v xml:space="preserve">  </v>
      </c>
      <c r="G20" s="139" t="str">
        <f>IF('Bond &amp; Interest'!$E$82&lt;&gt;0,'Bond &amp; Interest'!$E$82,"  ")</f>
        <v xml:space="preserve">  </v>
      </c>
      <c r="H20" s="35" t="str">
        <f>IF('Bond &amp; Interest'!E82&lt;&gt;0,ROUND(G20/$F$49*1000,3),"  ")</f>
        <v xml:space="preserve">  </v>
      </c>
    </row>
    <row r="21" spans="1:13" x14ac:dyDescent="0.2">
      <c r="A21" s="41" t="str">
        <f>IF(inputPrYr!$B25&gt;"  ",(inputPrYr!$B25),"  ")</f>
        <v xml:space="preserve">  </v>
      </c>
      <c r="B21" s="139" t="str">
        <f>IF('Levy Page 10'!$C$32&gt;0,'Levy Page 10'!$C$32,"  ")</f>
        <v xml:space="preserve">  </v>
      </c>
      <c r="C21" s="35" t="str">
        <f>IF(inputPrYr!D71&gt;0,inputPrYr!D71,"  ")</f>
        <v xml:space="preserve">  </v>
      </c>
      <c r="D21" s="139" t="str">
        <f>IF('Levy Page 10'!$D$32&gt;0,'Levy Page 10'!$D$32,"  ")</f>
        <v xml:space="preserve">  </v>
      </c>
      <c r="E21" s="35" t="str">
        <f>IF(inputOth!D29&gt;0,inputOth!D29,"  ")</f>
        <v xml:space="preserve">  </v>
      </c>
      <c r="F21" s="139" t="str">
        <f>IF('Levy Page 10'!$E$32&gt;0,'Levy Page 10'!$E$32,"  ")</f>
        <v xml:space="preserve">  </v>
      </c>
      <c r="G21" s="139" t="str">
        <f>IF('Levy Page 10'!$E$39&lt;&gt;0,'Levy Page 10'!$E$39,"  ")</f>
        <v xml:space="preserve">  </v>
      </c>
      <c r="H21" s="35" t="str">
        <f>IF('Levy Page 10'!E39&lt;&gt;0,ROUND(G21/$F$49*1000,3),"  ")</f>
        <v xml:space="preserve">  </v>
      </c>
    </row>
    <row r="22" spans="1:13" x14ac:dyDescent="0.2">
      <c r="A22" s="41" t="str">
        <f>IF(inputPrYr!$B26&gt;"  ",(inputPrYr!$B26),"  ")</f>
        <v xml:space="preserve">  </v>
      </c>
      <c r="B22" s="139" t="str">
        <f>IF('Levy Page 10'!$C$74&gt;0,'Levy Page 10'!$C$74,"  ")</f>
        <v xml:space="preserve">  </v>
      </c>
      <c r="C22" s="35" t="str">
        <f>IF(inputPrYr!D72&gt;0,inputPrYr!D72,"  ")</f>
        <v xml:space="preserve">  </v>
      </c>
      <c r="D22" s="139" t="str">
        <f>IF('Levy Page 10'!$D$74&gt;0,'Levy Page 10'!$D$74,"  ")</f>
        <v xml:space="preserve">  </v>
      </c>
      <c r="E22" s="35" t="str">
        <f>IF(inputOth!D30&gt;0,inputOth!D30,"  ")</f>
        <v xml:space="preserve">  </v>
      </c>
      <c r="F22" s="139" t="str">
        <f>IF('Levy Page 10'!$E$74&gt;0,'Levy Page 10'!$E$74,"  ")</f>
        <v xml:space="preserve">  </v>
      </c>
      <c r="G22" s="139" t="str">
        <f>IF('Levy Page 10'!$E$81&lt;&gt;0,'Levy Page 10'!$E$81,"  ")</f>
        <v xml:space="preserve">  </v>
      </c>
      <c r="H22" s="35" t="str">
        <f>IF('Levy Page 10'!E81&lt;&gt;0,ROUND(G22/$F$49*1000,3),"  ")</f>
        <v xml:space="preserve">  </v>
      </c>
    </row>
    <row r="23" spans="1:13" x14ac:dyDescent="0.2">
      <c r="A23" s="41" t="str">
        <f>IF(inputPrYr!$B27&gt;"  ",(inputPrYr!$B27),"  ")</f>
        <v xml:space="preserve">  </v>
      </c>
      <c r="B23" s="139" t="str">
        <f>IF('Levy Page 11'!$C$35&gt;0,'Levy Page 11'!$C$35,"  ")</f>
        <v xml:space="preserve">  </v>
      </c>
      <c r="C23" s="35" t="str">
        <f>IF(inputPrYr!D73&gt;0,inputPrYr!D73,"  ")</f>
        <v xml:space="preserve">  </v>
      </c>
      <c r="D23" s="139" t="str">
        <f>IF('Levy Page 11'!$D$35&gt;0,'Levy Page 11'!$D$35,"  ")</f>
        <v xml:space="preserve">  </v>
      </c>
      <c r="E23" s="35" t="str">
        <f>IF(inputOth!D31&gt;0,inputOth!D31,"  ")</f>
        <v xml:space="preserve">  </v>
      </c>
      <c r="F23" s="139" t="str">
        <f>IF('Levy Page 11'!$E$35&gt;0,'Levy Page 11'!$E$35,"  ")</f>
        <v xml:space="preserve">  </v>
      </c>
      <c r="G23" s="139" t="str">
        <f>IF('Levy Page 11'!$E$42&lt;&gt;0,'Levy Page 11'!$E$42,"  ")</f>
        <v xml:space="preserve">  </v>
      </c>
      <c r="H23" s="35" t="str">
        <f>IF('Levy Page 11'!E42&lt;&gt;0,ROUND(G23/$F$49*1000,3),"  ")</f>
        <v xml:space="preserve">  </v>
      </c>
    </row>
    <row r="24" spans="1:13" x14ac:dyDescent="0.2">
      <c r="A24" s="41" t="str">
        <f>IF(inputPrYr!$B28&gt;"  ",(inputPrYr!$B28),"  ")</f>
        <v xml:space="preserve">  </v>
      </c>
      <c r="B24" s="139" t="str">
        <f>IF('Levy Page 11'!$C$75&gt;0,'Levy Page 11'!$C$75,"  ")</f>
        <v xml:space="preserve">  </v>
      </c>
      <c r="C24" s="35" t="str">
        <f>IF(inputPrYr!D74&gt;0,inputPrYr!D74,"  ")</f>
        <v xml:space="preserve">  </v>
      </c>
      <c r="D24" s="139" t="str">
        <f>IF('Levy Page 11'!$D$75&gt;0,'Levy Page 11'!$D$75,"  ")</f>
        <v xml:space="preserve">  </v>
      </c>
      <c r="E24" s="35" t="str">
        <f>IF(inputOth!D32&gt;0,inputOth!D32,"  ")</f>
        <v xml:space="preserve">  </v>
      </c>
      <c r="F24" s="139" t="str">
        <f>IF('Levy Page 11'!$E$75&gt;0,'Levy Page 11'!$E$75,"  ")</f>
        <v xml:space="preserve">  </v>
      </c>
      <c r="G24" s="139" t="str">
        <f>IF('Levy Page 11'!$E$82&lt;&gt;0,'Levy Page 11'!$E$82,"  ")</f>
        <v xml:space="preserve">  </v>
      </c>
      <c r="H24" s="35" t="str">
        <f>IF('Levy Page 11'!E82&lt;&gt;0,ROUND(G24/$F$49*1000,3),"  ")</f>
        <v xml:space="preserve">  </v>
      </c>
    </row>
    <row r="25" spans="1:13" x14ac:dyDescent="0.2">
      <c r="A25" s="41" t="str">
        <f>IF(inputPrYr!$B29&gt;"  ",(inputPrYr!$B29),"  ")</f>
        <v xml:space="preserve">  </v>
      </c>
      <c r="B25" s="139" t="str">
        <f>IF('Levy Page 12'!$C$35&gt;0,'Levy Page 12'!$C$35,"  ")</f>
        <v xml:space="preserve">  </v>
      </c>
      <c r="C25" s="35" t="str">
        <f>IF(inputPrYr!D75&gt;0,inputPrYr!D75,"  ")</f>
        <v xml:space="preserve">  </v>
      </c>
      <c r="D25" s="139" t="str">
        <f>IF('Levy Page 12'!$D$35&gt;0,'Levy Page 12'!$D$35,"  ")</f>
        <v xml:space="preserve">  </v>
      </c>
      <c r="E25" s="35" t="str">
        <f>IF(inputOth!D33&gt;0,inputOth!D33,"  ")</f>
        <v xml:space="preserve">  </v>
      </c>
      <c r="F25" s="139" t="str">
        <f>IF('Levy Page 12'!$E$35&gt;0,'Levy Page 12'!$E$35,"  ")</f>
        <v xml:space="preserve">  </v>
      </c>
      <c r="G25" s="139" t="str">
        <f>IF('Levy Page 12'!$E$42&lt;&gt;0,'Levy Page 12'!$E$42,"  ")</f>
        <v xml:space="preserve">  </v>
      </c>
      <c r="H25" s="35" t="str">
        <f>IF('Levy Page 12'!E42&lt;&gt;0,ROUND(G25/$F$49*1000,3),"  ")</f>
        <v xml:space="preserve">  </v>
      </c>
    </row>
    <row r="26" spans="1:13" x14ac:dyDescent="0.2">
      <c r="A26" s="41" t="str">
        <f>IF(inputPrYr!$B30&gt;"  ",(inputPrYr!$B30),"  ")</f>
        <v xml:space="preserve">  </v>
      </c>
      <c r="B26" s="139" t="str">
        <f>IF('Levy Page 12'!$C$74&gt;0,'Levy Page 12'!$C$74,"  ")</f>
        <v xml:space="preserve">  </v>
      </c>
      <c r="C26" s="35" t="str">
        <f>IF(inputPrYr!D76&gt;0,inputPrYr!D76,"  ")</f>
        <v xml:space="preserve">  </v>
      </c>
      <c r="D26" s="139" t="str">
        <f>IF('Levy Page 12'!$D$74&gt;0,'Levy Page 12'!$D$74,"  ")</f>
        <v xml:space="preserve">  </v>
      </c>
      <c r="E26" s="35" t="str">
        <f>IF(inputOth!D34&gt;0,inputOth!D34,"  ")</f>
        <v xml:space="preserve">  </v>
      </c>
      <c r="F26" s="139" t="str">
        <f>IF('Levy Page 12'!$E$74&gt;0,'Levy Page 12'!$E$74,"  ")</f>
        <v xml:space="preserve">  </v>
      </c>
      <c r="G26" s="139" t="str">
        <f>IF('Levy Page 12'!$E$81&lt;&gt;0,'Levy Page 12'!$E$81,"  ")</f>
        <v xml:space="preserve">  </v>
      </c>
      <c r="H26" s="35" t="str">
        <f>IF('Levy Page 12'!E81&lt;&gt;0,ROUND(G26/$F$49*1000,3),"  ")</f>
        <v xml:space="preserve">  </v>
      </c>
    </row>
    <row r="27" spans="1:13" x14ac:dyDescent="0.2">
      <c r="A27" s="41" t="str">
        <f>IF(inputPrYr!$B31&gt;"  ",(inputPrYr!$B31),"  ")</f>
        <v xml:space="preserve">  </v>
      </c>
      <c r="B27" s="139" t="str">
        <f>IF('Levy Page 13'!$C$32&gt;0,'Levy Page 13'!$C$32,"  ")</f>
        <v xml:space="preserve">  </v>
      </c>
      <c r="C27" s="35" t="str">
        <f>IF(inputPrYr!D77&gt;0,inputPrYr!D77,"  ")</f>
        <v xml:space="preserve">  </v>
      </c>
      <c r="D27" s="139" t="str">
        <f>IF('Levy Page 13'!$D$32&gt;0,'Levy Page 13'!$D$32,"  ")</f>
        <v xml:space="preserve">  </v>
      </c>
      <c r="E27" s="35" t="str">
        <f>IF(inputOth!D35&gt;0,inputOth!D35,"  ")</f>
        <v xml:space="preserve">  </v>
      </c>
      <c r="F27" s="139" t="str">
        <f>IF('Levy Page 13'!$E$32&gt;0,'Levy Page 13'!$E$32,"  ")</f>
        <v xml:space="preserve">  </v>
      </c>
      <c r="G27" s="139" t="str">
        <f>IF('Levy Page 13'!$E$39&lt;&gt;0,'Levy Page 13'!$E$39,"  ")</f>
        <v xml:space="preserve">  </v>
      </c>
      <c r="H27" s="35" t="str">
        <f>IF('Levy Page 13'!E39&lt;&gt;0,ROUND(G27/$F$49*1000,3),"  ")</f>
        <v xml:space="preserve">  </v>
      </c>
    </row>
    <row r="28" spans="1:13" x14ac:dyDescent="0.2">
      <c r="A28" s="41" t="str">
        <f>IF(inputPrYr!$B32&gt;"  ",(inputPrYr!$B32),"  ")</f>
        <v xml:space="preserve">  </v>
      </c>
      <c r="B28" s="139" t="str">
        <f>IF('Levy Page 13'!$C$74&gt;0,'Levy Page 13'!$C$74,"  ")</f>
        <v xml:space="preserve">  </v>
      </c>
      <c r="C28" s="35" t="str">
        <f>IF(inputPrYr!D78&gt;0,inputPrYr!D78,"  ")</f>
        <v xml:space="preserve">  </v>
      </c>
      <c r="D28" s="139" t="str">
        <f>IF('Levy Page 13'!$D$74&gt;0,'Levy Page 13'!$D$74,"  ")</f>
        <v xml:space="preserve">  </v>
      </c>
      <c r="E28" s="35" t="str">
        <f>IF(inputOth!D36&gt;0,inputOth!D36,"  ")</f>
        <v xml:space="preserve">  </v>
      </c>
      <c r="F28" s="139" t="str">
        <f>IF('Levy Page 13'!$E$74&gt;0,'Levy Page 13'!$E$74,"  ")</f>
        <v xml:space="preserve">  </v>
      </c>
      <c r="G28" s="139" t="str">
        <f>IF('Levy Page 13'!$E$81&lt;&gt;0,'Levy Page 13'!$E$81,"  ")</f>
        <v xml:space="preserve">  </v>
      </c>
      <c r="H28" s="35" t="str">
        <f>IF('Levy Page 13'!E81&lt;&gt;0,ROUND(G28/$F$49*1000,3),"  ")</f>
        <v xml:space="preserve">  </v>
      </c>
    </row>
    <row r="29" spans="1:13" x14ac:dyDescent="0.2">
      <c r="A29" s="41" t="str">
        <f>IF(inputPrYr!$B36&gt;"  ",(inputPrYr!$B36),"  ")</f>
        <v>Special Highway</v>
      </c>
      <c r="B29" s="139">
        <f>IF('Spec Hwy &amp; RHID'!$C$25&gt;0,'Spec Hwy &amp; RHID'!$C$25,"  ")</f>
        <v>52089</v>
      </c>
      <c r="C29" s="24"/>
      <c r="D29" s="139">
        <f>IF('Spec Hwy &amp; RHID'!$D$25&gt;0,'Spec Hwy &amp; RHID'!$D$25,"  ")</f>
        <v>90000</v>
      </c>
      <c r="E29" s="24"/>
      <c r="F29" s="139">
        <f>IF('Spec Hwy &amp; RHID'!$E$25&gt;0,'Spec Hwy &amp; RHID'!$E$25,"  ")</f>
        <v>172841</v>
      </c>
      <c r="G29" s="139"/>
      <c r="H29" s="24"/>
    </row>
    <row r="30" spans="1:13" x14ac:dyDescent="0.2">
      <c r="A30" s="41" t="str">
        <f>IF(inputPrYr!$B37&gt;"  ",(inputPrYr!$B37),"  ")</f>
        <v xml:space="preserve">RHID </v>
      </c>
      <c r="B30" s="139" t="str">
        <f>IF('Spec Hwy &amp; RHID'!$C$56&gt;0,'Spec Hwy &amp; RHID'!$C$56,"  ")</f>
        <v xml:space="preserve">  </v>
      </c>
      <c r="C30" s="24"/>
      <c r="D30" s="139" t="str">
        <f>IF('Spec Hwy &amp; RHID'!$D$56&gt;0,'Spec Hwy &amp; RHID'!$D$56,"  ")</f>
        <v xml:space="preserve">  </v>
      </c>
      <c r="E30" s="24"/>
      <c r="F30" s="139">
        <f>IF('Spec Hwy &amp; RHID'!$E$56&gt;0,'Spec Hwy &amp; RHID'!$E$56,"  ")</f>
        <v>60000</v>
      </c>
      <c r="G30" s="139"/>
      <c r="H30" s="24"/>
    </row>
    <row r="31" spans="1:13" x14ac:dyDescent="0.2">
      <c r="A31" s="41" t="str">
        <f>IF(inputPrYr!$B38&gt;"  ",(inputPrYr!$B38),"  ")</f>
        <v>Water Utility</v>
      </c>
      <c r="B31" s="139">
        <f>IF('Water &amp; Sewer'!$C$32&gt;0,'Water &amp; Sewer'!$C$32,"  ")</f>
        <v>232439</v>
      </c>
      <c r="C31" s="24"/>
      <c r="D31" s="139">
        <f>IF('Water &amp; Sewer'!$D$32&gt;0,'Water &amp; Sewer'!$D$32,"  ")</f>
        <v>281660</v>
      </c>
      <c r="E31" s="24"/>
      <c r="F31" s="139">
        <f>IF('Water &amp; Sewer'!$E$32&gt;0,'Water &amp; Sewer'!$E$32,"  ")</f>
        <v>543500</v>
      </c>
      <c r="G31" s="139"/>
      <c r="H31" s="24"/>
    </row>
    <row r="32" spans="1:13" x14ac:dyDescent="0.25">
      <c r="A32" s="41" t="str">
        <f>IF(inputPrYr!$B39&gt;"  ",(inputPrYr!$B39),"  ")</f>
        <v>Sewer Utility</v>
      </c>
      <c r="B32" s="139">
        <f>IF('Water &amp; Sewer'!$C$69&gt;0,'Water &amp; Sewer'!$C$69,"  ")</f>
        <v>206613</v>
      </c>
      <c r="C32" s="24"/>
      <c r="D32" s="139">
        <f>IF('Water &amp; Sewer'!$D$69&gt;0,'Water &amp; Sewer'!$D$69,"  ")</f>
        <v>287800</v>
      </c>
      <c r="E32" s="24"/>
      <c r="F32" s="139">
        <f>IF('Water &amp; Sewer'!$E$69&gt;0,'Water &amp; Sewer'!$E$69,"  ")</f>
        <v>3821000</v>
      </c>
      <c r="G32" s="139"/>
      <c r="H32" s="24"/>
      <c r="J32" s="924" t="str">
        <f>CONCATENATE("Estimated Value Of One Mill For ",H1,"")</f>
        <v>Estimated Value Of One Mill For 2023</v>
      </c>
      <c r="K32" s="925"/>
      <c r="L32" s="925"/>
      <c r="M32" s="926"/>
    </row>
    <row r="33" spans="1:13" x14ac:dyDescent="0.25">
      <c r="A33" s="41" t="str">
        <f>IF(inputPrYr!$B40&gt;"  ",(inputPrYr!$B40),"  ")</f>
        <v xml:space="preserve">Solid Waste Utility </v>
      </c>
      <c r="B33" s="139">
        <f>IF(Trash!$C$26&gt;0,Trash!$C$26,"  ")</f>
        <v>116641</v>
      </c>
      <c r="C33" s="24"/>
      <c r="D33" s="139">
        <f>IF(Trash!$D$26&gt;0,Trash!$D$26,"  ")</f>
        <v>115000</v>
      </c>
      <c r="E33" s="24"/>
      <c r="F33" s="139">
        <f>IF(Trash!$E$26&gt;0,Trash!$E$26,"  ")</f>
        <v>258000</v>
      </c>
      <c r="G33" s="139"/>
      <c r="H33" s="24"/>
      <c r="J33" s="409"/>
      <c r="K33" s="410"/>
      <c r="L33" s="410"/>
      <c r="M33" s="411"/>
    </row>
    <row r="34" spans="1:13" x14ac:dyDescent="0.25">
      <c r="A34" s="41" t="str">
        <f>IF(inputPrYr!$B41&gt;"  ",(inputPrYr!$B41),"  ")</f>
        <v xml:space="preserve">  </v>
      </c>
      <c r="B34" s="139" t="str">
        <f>IF(Trash!$C$57&gt;0,Trash!$C$57,"  ")</f>
        <v xml:space="preserve">  </v>
      </c>
      <c r="C34" s="24"/>
      <c r="D34" s="139" t="str">
        <f>IF(Trash!$D$57&gt;0,Trash!$D$57,"  ")</f>
        <v xml:space="preserve">  </v>
      </c>
      <c r="E34" s="24"/>
      <c r="F34" s="139" t="str">
        <f>IF(Trash!$E$57&gt;0,Trash!$E$57,"  ")</f>
        <v xml:space="preserve">  </v>
      </c>
      <c r="G34" s="139"/>
      <c r="H34" s="24"/>
      <c r="J34" s="412" t="s">
        <v>616</v>
      </c>
      <c r="K34" s="413"/>
      <c r="L34" s="413"/>
      <c r="M34" s="626">
        <f>ROUND(F49/1000,0)</f>
        <v>7356</v>
      </c>
    </row>
    <row r="35" spans="1:13" x14ac:dyDescent="0.2">
      <c r="A35" s="41" t="str">
        <f>IF(inputPrYr!$B42&gt;"  ",(inputPrYr!$B42),"  ")</f>
        <v xml:space="preserve">  </v>
      </c>
      <c r="B35" s="139" t="str">
        <f>IF('No Levy Page 17'!$C$26&gt;0,'No Levy Page 17'!$C$26,"  ")</f>
        <v xml:space="preserve">  </v>
      </c>
      <c r="C35" s="24"/>
      <c r="D35" s="139" t="str">
        <f>IF('No Levy Page 17'!$D$26&gt;0,'No Levy Page 17'!$D$26,"  ")</f>
        <v xml:space="preserve">  </v>
      </c>
      <c r="E35" s="24"/>
      <c r="F35" s="139" t="str">
        <f>IF('No Levy Page 17'!$E$26&gt;0,'No Levy Page 17'!$E$26,"  ")</f>
        <v xml:space="preserve">  </v>
      </c>
      <c r="G35" s="139"/>
      <c r="H35" s="24"/>
    </row>
    <row r="36" spans="1:13" x14ac:dyDescent="0.25">
      <c r="A36" s="41" t="str">
        <f>IF(inputPrYr!$B43&gt;"  ",(inputPrYr!$B43),"  ")</f>
        <v xml:space="preserve">  </v>
      </c>
      <c r="B36" s="139" t="str">
        <f>IF('No Levy Page 17'!$C$57&gt;0,'No Levy Page 17'!$C$57,"  ")</f>
        <v xml:space="preserve">  </v>
      </c>
      <c r="C36" s="24"/>
      <c r="D36" s="139" t="str">
        <f>IF('No Levy Page 17'!$D$57&gt;0,'No Levy Page 17'!$D$57,"  ")</f>
        <v xml:space="preserve">  </v>
      </c>
      <c r="E36" s="24"/>
      <c r="F36" s="139" t="str">
        <f>IF('No Levy Page 17'!$E$57&gt;0,'No Levy Page 17'!$E$57,"  ")</f>
        <v xml:space="preserve">  </v>
      </c>
      <c r="G36" s="139"/>
      <c r="H36" s="24"/>
      <c r="J36" s="924" t="str">
        <f>CONCATENATE("Want The Mill Rate The Same As For ",H1-1,"?")</f>
        <v>Want The Mill Rate The Same As For 2022?</v>
      </c>
      <c r="K36" s="925"/>
      <c r="L36" s="925"/>
      <c r="M36" s="926"/>
    </row>
    <row r="37" spans="1:13" x14ac:dyDescent="0.25">
      <c r="A37" s="41" t="str">
        <f>IF(inputPrYr!$B46&gt;"  ",(inputPrYr!$B46),"  ")</f>
        <v xml:space="preserve">  </v>
      </c>
      <c r="B37" s="139" t="str">
        <f>IF('Single No Levy Page 18'!$C$44&gt;0,'Single No Levy Page 18'!$C$44,"  ")</f>
        <v xml:space="preserve">  </v>
      </c>
      <c r="C37" s="24"/>
      <c r="D37" s="139" t="str">
        <f>IF('Single No Levy Page 18'!$D$44&gt;0,'Single No Levy Page 18'!$D$44,"  ")</f>
        <v xml:space="preserve">  </v>
      </c>
      <c r="E37" s="24"/>
      <c r="F37" s="139" t="str">
        <f>IF('Single No Levy Page 18'!$E$44&gt;0,'Single No Levy Page 18'!$E$44,"  ")</f>
        <v xml:space="preserve">  </v>
      </c>
      <c r="G37" s="139"/>
      <c r="H37" s="24"/>
      <c r="J37" s="416"/>
      <c r="K37" s="410"/>
      <c r="L37" s="410"/>
      <c r="M37" s="417"/>
    </row>
    <row r="38" spans="1:13" x14ac:dyDescent="0.25">
      <c r="A38" s="41" t="str">
        <f>IF(inputPrYr!$B47&gt;"  ",(inputPrYr!$B47),"  ")</f>
        <v xml:space="preserve">  </v>
      </c>
      <c r="B38" s="139" t="str">
        <f>IF('Single No Levy Page 19'!$C$44&gt;0,'Single No Levy Page 19'!$C$44,"  ")</f>
        <v xml:space="preserve">  </v>
      </c>
      <c r="C38" s="24"/>
      <c r="D38" s="139" t="str">
        <f>IF('Single No Levy Page 19'!$D$44&gt;0,'Single No Levy Page 19'!$D$44,"  ")</f>
        <v xml:space="preserve">  </v>
      </c>
      <c r="E38" s="24"/>
      <c r="F38" s="139" t="str">
        <f>IF('Single No Levy Page 19'!$E$44&gt;0,'Single No Levy Page 19'!$E$44,"  ")</f>
        <v xml:space="preserve">  </v>
      </c>
      <c r="G38" s="139"/>
      <c r="H38" s="24"/>
      <c r="J38" s="416" t="str">
        <f>CONCATENATE("",H1-1," Mill Rate Was:")</f>
        <v>2022 Mill Rate Was:</v>
      </c>
      <c r="K38" s="410"/>
      <c r="L38" s="410"/>
      <c r="M38" s="418">
        <f>E43</f>
        <v>38.04</v>
      </c>
    </row>
    <row r="39" spans="1:13" x14ac:dyDescent="0.25">
      <c r="A39" s="41" t="str">
        <f>IF(inputPrYr!$B48&gt;"  ",(inputPrYr!$B48),"  ")</f>
        <v xml:space="preserve">  </v>
      </c>
      <c r="B39" s="139" t="str">
        <f>IF('Single No Levy Page 20'!$C$45&gt;0,'Single No Levy Page 20'!$C$45,"  ")</f>
        <v xml:space="preserve">  </v>
      </c>
      <c r="C39" s="24"/>
      <c r="D39" s="139" t="str">
        <f>IF('Single No Levy Page 20'!$D$45&gt;0,'Single No Levy Page 20'!$D$45,"  ")</f>
        <v xml:space="preserve">  </v>
      </c>
      <c r="E39" s="24"/>
      <c r="F39" s="139" t="str">
        <f>IF('Single No Levy Page 20'!$E$45&gt;0,'Single No Levy Page 20'!$E$45,"  ")</f>
        <v xml:space="preserve">  </v>
      </c>
      <c r="G39" s="139"/>
      <c r="H39" s="24"/>
      <c r="J39" s="419" t="str">
        <f>CONCATENATE("",H1," Tax Levy Fund Expenditures Must Be")</f>
        <v>2023 Tax Levy Fund Expenditures Must Be</v>
      </c>
      <c r="K39" s="420"/>
      <c r="L39" s="420"/>
      <c r="M39" s="417"/>
    </row>
    <row r="40" spans="1:13" x14ac:dyDescent="0.25">
      <c r="A40" s="41" t="str">
        <f>IF(inputPrYr!$B49&gt;"  ",(inputPrYr!$B49),"  ")</f>
        <v xml:space="preserve">  </v>
      </c>
      <c r="B40" s="139" t="str">
        <f>IF('Single No Levy Page 21'!$C$44&gt;0,'Single No Levy Page 21'!$C$44,"  ")</f>
        <v xml:space="preserve">  </v>
      </c>
      <c r="C40" s="24"/>
      <c r="D40" s="139" t="str">
        <f>IF('Single No Levy Page 21'!$D$44&gt;0,'Single No Levy Page 21'!$D$44,"  ")</f>
        <v xml:space="preserve">  </v>
      </c>
      <c r="E40" s="24"/>
      <c r="F40" s="139" t="str">
        <f>IF('Single No Levy Page 21'!$E$44&gt;0,'Single No Levy Page 21'!$E$44,"  ")</f>
        <v xml:space="preserve">  </v>
      </c>
      <c r="G40" s="139"/>
      <c r="H40" s="24"/>
      <c r="J40" s="419" t="str">
        <f>IF(M40&gt;0,"Increased By:","")</f>
        <v>Increased By:</v>
      </c>
      <c r="K40" s="420"/>
      <c r="L40" s="420"/>
      <c r="M40" s="455">
        <f>IF(M47&lt;0,M47*-1,0)</f>
        <v>62723</v>
      </c>
    </row>
    <row r="41" spans="1:13" x14ac:dyDescent="0.2">
      <c r="A41" s="41" t="str">
        <f>IF(inputPrYr!$B53&gt;" ",('Non-Budgeted Funds A'!$A3),"  ")</f>
        <v>Non-Budgeted Funds-A</v>
      </c>
      <c r="B41" s="139">
        <f>IF('Non-Budgeted Funds A'!$K$28&gt;0,'Non-Budgeted Funds A'!$K$28,"  ")</f>
        <v>30614</v>
      </c>
      <c r="C41" s="24"/>
      <c r="D41" s="139"/>
      <c r="E41" s="24"/>
      <c r="F41" s="139"/>
      <c r="G41" s="139"/>
      <c r="H41" s="24"/>
      <c r="J41" s="456" t="str">
        <f>IF(M41&lt;0,"Reduced By:","")</f>
        <v/>
      </c>
      <c r="K41" s="457"/>
      <c r="L41" s="457"/>
      <c r="M41" s="458">
        <f>IF(M47&gt;0,M47*-1,0)</f>
        <v>0</v>
      </c>
    </row>
    <row r="42" spans="1:13" x14ac:dyDescent="0.25">
      <c r="A42" s="41" t="str">
        <f>IF(inputPrYr!$B59&gt;" ",('Non-Budgeted Funds B'!$A3),"  ")</f>
        <v>Non-Budgeted Funds-B</v>
      </c>
      <c r="B42" s="336" t="str">
        <f>IF('Non-Budgeted Funds B'!$K$28&gt;0,'Non-Budgeted Funds B'!$K$28,"  ")</f>
        <v xml:space="preserve">  </v>
      </c>
      <c r="C42" s="97"/>
      <c r="D42" s="336"/>
      <c r="E42" s="97"/>
      <c r="F42" s="336"/>
      <c r="G42" s="336"/>
      <c r="H42" s="97"/>
      <c r="J42" s="423"/>
      <c r="K42" s="423"/>
      <c r="L42" s="423"/>
      <c r="M42" s="423"/>
    </row>
    <row r="43" spans="1:13" ht="16.5" thickBot="1" x14ac:dyDescent="0.3">
      <c r="A43" s="789" t="s">
        <v>619</v>
      </c>
      <c r="B43" s="310">
        <f>SUM(B16:B42)</f>
        <v>1365721</v>
      </c>
      <c r="C43" s="790">
        <f>SUM(C16:C28)</f>
        <v>38.761000000000003</v>
      </c>
      <c r="D43" s="310">
        <f>SUM(D16:D42)</f>
        <v>1568591</v>
      </c>
      <c r="E43" s="790">
        <f>SUM(E16:E28)</f>
        <v>38.04</v>
      </c>
      <c r="F43" s="310">
        <f>SUM(F16:F42)</f>
        <v>5767435</v>
      </c>
      <c r="G43" s="310">
        <f>SUM(G16:G42)</f>
        <v>217110</v>
      </c>
      <c r="H43" s="791">
        <f>SUM(H16:H28)</f>
        <v>29.513999999999999</v>
      </c>
      <c r="J43" s="924" t="str">
        <f>CONCATENATE("Impact On Keeping The Same Mill Rate As For ",H1-1,"")</f>
        <v>Impact On Keeping The Same Mill Rate As For 2022</v>
      </c>
      <c r="K43" s="929"/>
      <c r="L43" s="929"/>
      <c r="M43" s="930"/>
    </row>
    <row r="44" spans="1:13" ht="16.5" thickTop="1" x14ac:dyDescent="0.25">
      <c r="A44" s="933" t="s">
        <v>867</v>
      </c>
      <c r="B44" s="934"/>
      <c r="C44" s="934"/>
      <c r="D44" s="934"/>
      <c r="E44" s="934"/>
      <c r="F44" s="934"/>
      <c r="G44" s="935"/>
      <c r="H44" s="788">
        <f>inputOth!D20</f>
        <v>34.689</v>
      </c>
      <c r="I44" s="407"/>
      <c r="J44" s="416"/>
      <c r="K44" s="410"/>
      <c r="L44" s="410"/>
      <c r="M44" s="417"/>
    </row>
    <row r="45" spans="1:13" x14ac:dyDescent="0.25">
      <c r="A45" s="9" t="s">
        <v>44</v>
      </c>
      <c r="B45" s="335">
        <f>Transfers!C28</f>
        <v>25000</v>
      </c>
      <c r="C45" s="427"/>
      <c r="D45" s="335">
        <f>Transfers!D28</f>
        <v>45000</v>
      </c>
      <c r="E45" s="427"/>
      <c r="F45" s="335">
        <f>Transfers!E28</f>
        <v>245000</v>
      </c>
      <c r="G45" s="34"/>
      <c r="H45" s="28"/>
      <c r="J45" s="416" t="str">
        <f>CONCATENATE("",H1," Ad Valorem Tax Revenue:")</f>
        <v>2023 Ad Valorem Tax Revenue:</v>
      </c>
      <c r="K45" s="410"/>
      <c r="L45" s="410"/>
      <c r="M45" s="411">
        <f>G43</f>
        <v>217110</v>
      </c>
    </row>
    <row r="46" spans="1:13" ht="16.5" thickBot="1" x14ac:dyDescent="0.3">
      <c r="A46" s="9" t="s">
        <v>45</v>
      </c>
      <c r="B46" s="310">
        <f>B43-B45</f>
        <v>1340721</v>
      </c>
      <c r="C46" s="6"/>
      <c r="D46" s="310">
        <f>D43-D45</f>
        <v>1523591</v>
      </c>
      <c r="E46" s="6"/>
      <c r="F46" s="310">
        <f>F43-F45</f>
        <v>5522435</v>
      </c>
      <c r="G46" s="6"/>
      <c r="H46" s="6"/>
      <c r="J46" s="416" t="str">
        <f>CONCATENATE("",H1-1," Ad Valorem Tax Revenue:")</f>
        <v>2022 Ad Valorem Tax Revenue:</v>
      </c>
      <c r="K46" s="410"/>
      <c r="L46" s="410"/>
      <c r="M46" s="424">
        <f>ROUND(F49*M38/1000,0)</f>
        <v>279833</v>
      </c>
    </row>
    <row r="47" spans="1:13" ht="16.5" thickTop="1" x14ac:dyDescent="0.25">
      <c r="A47" s="9" t="s">
        <v>46</v>
      </c>
      <c r="B47" s="335">
        <f>inputPrYr!E81</f>
        <v>244504</v>
      </c>
      <c r="C47" s="112"/>
      <c r="D47" s="335">
        <f>inputPrYr!E33</f>
        <v>244504</v>
      </c>
      <c r="E47" s="112"/>
      <c r="F47" s="243" t="s">
        <v>10</v>
      </c>
      <c r="G47" s="6"/>
      <c r="H47" s="6"/>
      <c r="J47" s="421" t="s">
        <v>617</v>
      </c>
      <c r="K47" s="422"/>
      <c r="L47" s="422"/>
      <c r="M47" s="414">
        <f>SUM(M45-M46)</f>
        <v>-62723</v>
      </c>
    </row>
    <row r="48" spans="1:13" x14ac:dyDescent="0.25">
      <c r="A48" s="9" t="s">
        <v>47</v>
      </c>
      <c r="B48" s="336"/>
      <c r="C48" s="6"/>
      <c r="D48" s="336"/>
      <c r="E48" s="117"/>
      <c r="F48" s="97"/>
      <c r="G48" s="6"/>
      <c r="H48" s="6"/>
      <c r="J48" s="415"/>
      <c r="K48" s="415"/>
      <c r="L48" s="415"/>
      <c r="M48" s="423"/>
    </row>
    <row r="49" spans="1:13" x14ac:dyDescent="0.25">
      <c r="A49" s="9" t="s">
        <v>48</v>
      </c>
      <c r="B49" s="335">
        <f>inputPrYr!E82</f>
        <v>6416273</v>
      </c>
      <c r="C49" s="36"/>
      <c r="D49" s="335">
        <f>inputOth!E39</f>
        <v>6711947</v>
      </c>
      <c r="E49" s="36"/>
      <c r="F49" s="335">
        <f>inputOth!E7</f>
        <v>7356294</v>
      </c>
      <c r="G49" s="6"/>
      <c r="H49" s="6"/>
      <c r="J49" s="924" t="s">
        <v>618</v>
      </c>
      <c r="K49" s="927"/>
      <c r="L49" s="927"/>
      <c r="M49" s="928"/>
    </row>
    <row r="50" spans="1:13" x14ac:dyDescent="0.25">
      <c r="A50" s="9" t="s">
        <v>49</v>
      </c>
      <c r="B50" s="6"/>
      <c r="C50" s="6"/>
      <c r="D50" s="6"/>
      <c r="E50" s="6"/>
      <c r="F50" s="6"/>
      <c r="G50" s="6"/>
      <c r="H50" s="6"/>
      <c r="J50" s="416"/>
      <c r="K50" s="410"/>
      <c r="L50" s="410"/>
      <c r="M50" s="417"/>
    </row>
    <row r="51" spans="1:13" x14ac:dyDescent="0.25">
      <c r="A51" s="9" t="s">
        <v>50</v>
      </c>
      <c r="B51" s="244">
        <f>$H$1-3</f>
        <v>2020</v>
      </c>
      <c r="C51" s="6"/>
      <c r="D51" s="244">
        <f>$H$1-2</f>
        <v>2021</v>
      </c>
      <c r="E51" s="6"/>
      <c r="F51" s="244">
        <f>$H$1-1</f>
        <v>2022</v>
      </c>
      <c r="G51" s="6"/>
      <c r="H51" s="6"/>
      <c r="J51" s="769" t="s">
        <v>866</v>
      </c>
      <c r="K51" s="410"/>
      <c r="L51" s="410"/>
      <c r="M51" s="770">
        <f>H44</f>
        <v>34.689</v>
      </c>
    </row>
    <row r="52" spans="1:13" x14ac:dyDescent="0.25">
      <c r="A52" s="9" t="s">
        <v>51</v>
      </c>
      <c r="B52" s="129">
        <f>inputPrYr!D85</f>
        <v>1495000</v>
      </c>
      <c r="C52" s="6"/>
      <c r="D52" s="129">
        <f>inputPrYr!E85</f>
        <v>1430000</v>
      </c>
      <c r="E52" s="6"/>
      <c r="F52" s="129">
        <f>Debt!G20</f>
        <v>1365000</v>
      </c>
      <c r="G52" s="6"/>
      <c r="H52" s="6"/>
      <c r="J52" s="416" t="str">
        <f>CONCATENATE("Current ",H1," Estimated Mill Rate:")</f>
        <v>Current 2023 Estimated Mill Rate:</v>
      </c>
      <c r="K52" s="410"/>
      <c r="L52" s="410"/>
      <c r="M52" s="418">
        <f>H43</f>
        <v>29.513999999999999</v>
      </c>
    </row>
    <row r="53" spans="1:13" x14ac:dyDescent="0.25">
      <c r="A53" s="9" t="s">
        <v>52</v>
      </c>
      <c r="B53" s="129">
        <f>inputPrYr!D86</f>
        <v>0</v>
      </c>
      <c r="C53" s="6"/>
      <c r="D53" s="129">
        <f>inputPrYr!E86</f>
        <v>0</v>
      </c>
      <c r="E53" s="6"/>
      <c r="F53" s="129">
        <f>Debt!G32</f>
        <v>0</v>
      </c>
      <c r="G53" s="6"/>
      <c r="H53" s="6"/>
      <c r="J53" s="416" t="str">
        <f>CONCATENATE("Desired ",H1," Mill Rate:")</f>
        <v>Desired 2023 Mill Rate:</v>
      </c>
      <c r="K53" s="410"/>
      <c r="L53" s="410"/>
      <c r="M53" s="408">
        <v>0</v>
      </c>
    </row>
    <row r="54" spans="1:13" x14ac:dyDescent="0.25">
      <c r="A54" s="6" t="s">
        <v>70</v>
      </c>
      <c r="B54" s="129">
        <f>inputPrYr!D87</f>
        <v>0</v>
      </c>
      <c r="C54" s="6"/>
      <c r="D54" s="129">
        <f>inputPrYr!E87</f>
        <v>0</v>
      </c>
      <c r="E54" s="6"/>
      <c r="F54" s="129">
        <f>Debt!G42</f>
        <v>0</v>
      </c>
      <c r="G54" s="6"/>
      <c r="H54" s="6"/>
      <c r="J54" s="416" t="str">
        <f>CONCATENATE(H1, " Ad Valorem Tax:")</f>
        <v>2023 Ad Valorem Tax:</v>
      </c>
      <c r="K54" s="410"/>
      <c r="L54" s="410"/>
      <c r="M54" s="424">
        <f>ROUND(F49*M53/1000,0)</f>
        <v>0</v>
      </c>
    </row>
    <row r="55" spans="1:13" x14ac:dyDescent="0.25">
      <c r="A55" s="9" t="s">
        <v>106</v>
      </c>
      <c r="B55" s="129">
        <f>inputPrYr!D88</f>
        <v>0</v>
      </c>
      <c r="C55" s="6"/>
      <c r="D55" s="129">
        <f>inputPrYr!E88</f>
        <v>0</v>
      </c>
      <c r="E55" s="6"/>
      <c r="F55" s="129">
        <f>'LP Form'!G28</f>
        <v>0</v>
      </c>
      <c r="G55" s="6"/>
      <c r="H55" s="6"/>
      <c r="J55" s="421" t="str">
        <f>CONCATENATE("",H1," Tax Levy Fund Exp. Changed By:")</f>
        <v>2023 Tax Levy Fund Exp. Changed By:</v>
      </c>
      <c r="K55" s="422"/>
      <c r="L55" s="422"/>
      <c r="M55" s="414">
        <f>IF(M53=0,0,(M54-G43))</f>
        <v>0</v>
      </c>
    </row>
    <row r="56" spans="1:13" ht="16.5" customHeight="1" thickBot="1" x14ac:dyDescent="0.25">
      <c r="A56" s="9" t="s">
        <v>53</v>
      </c>
      <c r="B56" s="425">
        <f>SUM(B52:B55)</f>
        <v>1495000</v>
      </c>
      <c r="C56" s="6"/>
      <c r="D56" s="425">
        <f>SUM(D52:D55)</f>
        <v>1430000</v>
      </c>
      <c r="E56" s="6"/>
      <c r="F56" s="425">
        <f>SUM(F52:F55)</f>
        <v>1365000</v>
      </c>
      <c r="G56" s="6"/>
      <c r="H56" s="6"/>
    </row>
    <row r="57" spans="1:13" ht="16.5" customHeight="1" thickTop="1" x14ac:dyDescent="0.2">
      <c r="A57" s="9" t="s">
        <v>54</v>
      </c>
      <c r="B57" s="6"/>
      <c r="C57" s="6"/>
      <c r="D57" s="6"/>
      <c r="E57" s="6"/>
      <c r="F57" s="6"/>
      <c r="G57" s="6"/>
      <c r="H57" s="6"/>
      <c r="J57" s="936" t="s">
        <v>973</v>
      </c>
      <c r="K57" s="937"/>
      <c r="L57" s="937"/>
      <c r="M57" s="940" t="str">
        <f>IF(H43&gt;H44, "Yes", "No")</f>
        <v>No</v>
      </c>
    </row>
    <row r="58" spans="1:13" x14ac:dyDescent="0.2">
      <c r="A58" s="732" t="s">
        <v>972</v>
      </c>
      <c r="B58" s="6"/>
      <c r="C58" s="6"/>
      <c r="D58" s="6"/>
      <c r="E58" s="6"/>
      <c r="F58" s="6"/>
      <c r="G58" s="6"/>
      <c r="H58" s="6"/>
      <c r="J58" s="938"/>
      <c r="K58" s="939"/>
      <c r="L58" s="939"/>
      <c r="M58" s="941"/>
    </row>
    <row r="59" spans="1:13" x14ac:dyDescent="0.2">
      <c r="A59" s="6"/>
      <c r="B59" s="6"/>
      <c r="C59" s="6"/>
      <c r="D59" s="6"/>
      <c r="E59" s="6"/>
      <c r="F59" s="6"/>
      <c r="G59" s="6"/>
      <c r="H59" s="6"/>
      <c r="J59" s="900" t="str">
        <f>IF(M57="Yes", "Follow procedure prescirbed by KSA 79-2988 to exceed the Revenue Neutral Rate.", " ")</f>
        <v xml:space="preserve"> </v>
      </c>
      <c r="K59" s="900"/>
      <c r="L59" s="900"/>
      <c r="M59" s="900"/>
    </row>
    <row r="60" spans="1:13" x14ac:dyDescent="0.2">
      <c r="A60" s="931" t="str">
        <f>inputHearing!B14</f>
        <v>Audree Guzman</v>
      </c>
      <c r="B60" s="932"/>
      <c r="C60" s="6"/>
      <c r="D60" s="6"/>
      <c r="E60" s="6"/>
      <c r="F60" s="6"/>
      <c r="G60" s="6"/>
      <c r="H60" s="6"/>
      <c r="J60" s="901"/>
      <c r="K60" s="901"/>
      <c r="L60" s="901"/>
      <c r="M60" s="901"/>
    </row>
    <row r="61" spans="1:13" x14ac:dyDescent="0.2">
      <c r="A61" s="108" t="s">
        <v>520</v>
      </c>
      <c r="B61" s="542" t="str">
        <f>inputHearing!B16</f>
        <v>City Administrator</v>
      </c>
      <c r="C61" s="315"/>
      <c r="D61" s="6"/>
      <c r="E61" s="6"/>
      <c r="F61" s="6"/>
      <c r="G61" s="6"/>
      <c r="H61" s="6"/>
      <c r="J61" s="901"/>
      <c r="K61" s="901"/>
      <c r="L61" s="901"/>
      <c r="M61" s="901"/>
    </row>
    <row r="62" spans="1:13" x14ac:dyDescent="0.2">
      <c r="A62" s="6"/>
      <c r="B62" s="6"/>
      <c r="C62" s="6"/>
      <c r="D62" s="6"/>
      <c r="E62" s="6"/>
      <c r="F62" s="6"/>
      <c r="G62" s="6"/>
      <c r="H62" s="6"/>
    </row>
    <row r="63" spans="1:13" x14ac:dyDescent="0.2">
      <c r="A63" s="6"/>
      <c r="B63" s="6"/>
      <c r="C63" s="83" t="s">
        <v>29</v>
      </c>
      <c r="D63" s="600">
        <v>23</v>
      </c>
      <c r="E63" s="6"/>
      <c r="F63" s="6"/>
      <c r="G63" s="6"/>
      <c r="H63" s="6"/>
    </row>
  </sheetData>
  <sheetProtection sheet="1"/>
  <mergeCells count="22">
    <mergeCell ref="A2:H2"/>
    <mergeCell ref="A5:H5"/>
    <mergeCell ref="A7:H7"/>
    <mergeCell ref="A8:H8"/>
    <mergeCell ref="A4:H4"/>
    <mergeCell ref="A6:H6"/>
    <mergeCell ref="J32:M32"/>
    <mergeCell ref="J36:M36"/>
    <mergeCell ref="J49:M49"/>
    <mergeCell ref="J43:M43"/>
    <mergeCell ref="A60:B60"/>
    <mergeCell ref="A44:G44"/>
    <mergeCell ref="J57:L58"/>
    <mergeCell ref="M57:M58"/>
    <mergeCell ref="J59:M61"/>
    <mergeCell ref="G14:G15"/>
    <mergeCell ref="H14:H15"/>
    <mergeCell ref="B14:B15"/>
    <mergeCell ref="C14:C15"/>
    <mergeCell ref="D14:D15"/>
    <mergeCell ref="E14:E15"/>
    <mergeCell ref="F14:F15"/>
  </mergeCells>
  <phoneticPr fontId="0" type="noConversion"/>
  <conditionalFormatting sqref="M57:M58">
    <cfRule type="containsText" dxfId="1" priority="1" operator="containsText" text="Yes">
      <formula>NOT(ISERROR(SEARCH("Yes",M57)))</formula>
    </cfRule>
  </conditionalFormatting>
  <pageMargins left="0.5" right="0.5" top="1" bottom="0.5" header="0.5" footer="0.5"/>
  <pageSetup scale="68" orientation="portrait" blackAndWhite="1" horizontalDpi="120" verticalDpi="144" r:id="rId1"/>
  <headerFooter alignWithMargins="0">
    <oddHeader xml:space="preserve">&amp;RState of Kansas
City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A3967-5919-48D5-99C7-3BB7B7D175BC}">
  <sheetPr>
    <tabColor rgb="FF00B0F0"/>
    <pageSetUpPr fitToPage="1"/>
  </sheetPr>
  <dimension ref="A1:M63"/>
  <sheetViews>
    <sheetView tabSelected="1" zoomScale="75" workbookViewId="0">
      <selection sqref="A1:H62"/>
    </sheetView>
  </sheetViews>
  <sheetFormatPr defaultRowHeight="15.75" x14ac:dyDescent="0.2"/>
  <cols>
    <col min="1" max="1" width="20.77734375" style="2" customWidth="1"/>
    <col min="2" max="2" width="14.109375" style="2" customWidth="1"/>
    <col min="3" max="3" width="10.77734375" style="2" customWidth="1"/>
    <col min="4" max="4" width="14" style="2" customWidth="1"/>
    <col min="5" max="5" width="10.77734375" style="2" customWidth="1"/>
    <col min="6" max="6" width="15.77734375" style="2" customWidth="1"/>
    <col min="7" max="7" width="13.77734375" style="2" customWidth="1"/>
    <col min="8" max="8" width="10.33203125" style="2" customWidth="1"/>
    <col min="9" max="9" width="8.88671875" style="2" customWidth="1"/>
    <col min="10" max="10" width="12.44140625" style="2" customWidth="1"/>
    <col min="11" max="11" width="12.33203125" style="2" customWidth="1"/>
    <col min="12" max="12" width="10.5546875" style="2" customWidth="1"/>
    <col min="13" max="13" width="12.109375" style="2" customWidth="1"/>
    <col min="14" max="16384" width="8.88671875" style="2"/>
  </cols>
  <sheetData>
    <row r="1" spans="1:9" x14ac:dyDescent="0.2">
      <c r="A1" s="57"/>
      <c r="B1" s="57"/>
      <c r="C1" s="57"/>
      <c r="D1" s="57"/>
      <c r="E1" s="57"/>
      <c r="F1" s="57"/>
      <c r="G1" s="57"/>
      <c r="H1" s="57">
        <f>inputPrYr!$C$6</f>
        <v>2023</v>
      </c>
    </row>
    <row r="2" spans="1:9" x14ac:dyDescent="0.2">
      <c r="A2" s="942" t="s">
        <v>984</v>
      </c>
      <c r="B2" s="942"/>
      <c r="C2" s="942"/>
      <c r="D2" s="942"/>
      <c r="E2" s="942"/>
      <c r="F2" s="942"/>
      <c r="G2" s="942"/>
      <c r="H2" s="942"/>
      <c r="I2" s="241"/>
    </row>
    <row r="3" spans="1:9" x14ac:dyDescent="0.2">
      <c r="A3" s="6"/>
      <c r="B3" s="6"/>
      <c r="C3" s="6"/>
      <c r="D3" s="6"/>
      <c r="E3" s="6"/>
      <c r="F3" s="6"/>
      <c r="G3" s="6"/>
      <c r="H3" s="6"/>
    </row>
    <row r="4" spans="1:9" x14ac:dyDescent="0.2">
      <c r="A4" s="842" t="s">
        <v>40</v>
      </c>
      <c r="B4" s="842"/>
      <c r="C4" s="842"/>
      <c r="D4" s="842"/>
      <c r="E4" s="842"/>
      <c r="F4" s="842"/>
      <c r="G4" s="842"/>
      <c r="H4" s="842"/>
    </row>
    <row r="5" spans="1:9" x14ac:dyDescent="0.2">
      <c r="A5" s="811" t="str">
        <f>inputPrYr!D3</f>
        <v>Valley Falls</v>
      </c>
      <c r="B5" s="811"/>
      <c r="C5" s="811"/>
      <c r="D5" s="811"/>
      <c r="E5" s="811"/>
      <c r="F5" s="811"/>
      <c r="G5" s="811"/>
      <c r="H5" s="811"/>
    </row>
    <row r="6" spans="1:9" x14ac:dyDescent="0.25">
      <c r="A6" s="944" t="str">
        <f>CONCATENATE("will meet on ",inputHearing!B32," at ",inputHearing!B34," at ",inputHearing!B36," for the purpose of hearing and")</f>
        <v>will meet on September 14, 2022 at 6:30 PM  at City Hall - 417 Broadway St, Valley Falls, KS 66088 for the purpose of hearing and</v>
      </c>
      <c r="B6" s="944"/>
      <c r="C6" s="944"/>
      <c r="D6" s="944"/>
      <c r="E6" s="944"/>
      <c r="F6" s="944"/>
      <c r="G6" s="944"/>
      <c r="H6" s="944"/>
    </row>
    <row r="7" spans="1:9" x14ac:dyDescent="0.2">
      <c r="A7" s="842" t="s">
        <v>1041</v>
      </c>
      <c r="B7" s="842"/>
      <c r="C7" s="842"/>
      <c r="D7" s="842"/>
      <c r="E7" s="842"/>
      <c r="F7" s="842"/>
      <c r="G7" s="842"/>
      <c r="H7" s="842"/>
    </row>
    <row r="8" spans="1:9" x14ac:dyDescent="0.2">
      <c r="A8" s="943" t="str">
        <f>CONCATENATE("Detailed budget information is available at ",inputHearing!B38," and will be available at this hearing.")</f>
        <v>Detailed budget information is available at City Hall  and will be available at this hearing.</v>
      </c>
      <c r="B8" s="943"/>
      <c r="C8" s="943"/>
      <c r="D8" s="943"/>
      <c r="E8" s="943"/>
      <c r="F8" s="943"/>
      <c r="G8" s="943"/>
      <c r="H8" s="943"/>
    </row>
    <row r="9" spans="1:9" x14ac:dyDescent="0.2">
      <c r="A9" s="12" t="s">
        <v>82</v>
      </c>
      <c r="B9" s="13"/>
      <c r="C9" s="13"/>
      <c r="D9" s="13"/>
      <c r="E9" s="13"/>
      <c r="F9" s="13"/>
      <c r="G9" s="13"/>
      <c r="H9" s="13"/>
    </row>
    <row r="10" spans="1:9" x14ac:dyDescent="0.2">
      <c r="A10" s="14" t="str">
        <f>CONCATENATE("Proposed Budget ",H1," Expenditures and Amount of  ",H1-1," Ad Valorem Tax establish the maximum limits of the ",H1," budget.")</f>
        <v>Proposed Budget 2023 Expenditures and Amount of  2022 Ad Valorem Tax establish the maximum limits of the 2023 budget.</v>
      </c>
      <c r="B10" s="13"/>
      <c r="C10" s="13"/>
      <c r="D10" s="13"/>
      <c r="E10" s="13"/>
      <c r="F10" s="13"/>
      <c r="G10" s="13"/>
      <c r="H10" s="13"/>
    </row>
    <row r="11" spans="1:9" x14ac:dyDescent="0.2">
      <c r="A11" s="14" t="s">
        <v>105</v>
      </c>
      <c r="B11" s="13"/>
      <c r="C11" s="13"/>
      <c r="D11" s="13"/>
      <c r="E11" s="13"/>
      <c r="F11" s="13"/>
      <c r="G11" s="13"/>
      <c r="H11" s="13"/>
    </row>
    <row r="12" spans="1:9" x14ac:dyDescent="0.2">
      <c r="A12" s="6"/>
      <c r="B12" s="197"/>
      <c r="C12" s="197"/>
      <c r="D12" s="197"/>
      <c r="E12" s="197"/>
      <c r="F12" s="197"/>
      <c r="G12" s="197"/>
      <c r="H12" s="197"/>
    </row>
    <row r="13" spans="1:9" x14ac:dyDescent="0.2">
      <c r="A13" s="6"/>
      <c r="B13" s="242" t="str">
        <f>CONCATENATE("Prior Year Actual for ",H1-2,"")</f>
        <v>Prior Year Actual for 2021</v>
      </c>
      <c r="C13" s="86"/>
      <c r="D13" s="242" t="str">
        <f>CONCATENATE("Current Year Estimate for ",H1-1,"")</f>
        <v>Current Year Estimate for 2022</v>
      </c>
      <c r="E13" s="86"/>
      <c r="F13" s="84" t="str">
        <f>CONCATENATE("Proposed Budget for ",H1,"")</f>
        <v>Proposed Budget for 2023</v>
      </c>
      <c r="G13" s="85"/>
      <c r="H13" s="86"/>
    </row>
    <row r="14" spans="1:9" ht="35.25" customHeight="1" x14ac:dyDescent="0.2">
      <c r="A14" s="6"/>
      <c r="B14" s="920" t="s">
        <v>43</v>
      </c>
      <c r="C14" s="918" t="s">
        <v>974</v>
      </c>
      <c r="D14" s="920" t="s">
        <v>43</v>
      </c>
      <c r="E14" s="918" t="s">
        <v>974</v>
      </c>
      <c r="F14" s="922" t="s">
        <v>975</v>
      </c>
      <c r="G14" s="918" t="str">
        <f>CONCATENATE("Amount of ", H1-1," Ad Valorem Tax ")</f>
        <v xml:space="preserve">Amount of 2022 Ad Valorem Tax </v>
      </c>
      <c r="H14" s="918" t="s">
        <v>976</v>
      </c>
    </row>
    <row r="15" spans="1:9" x14ac:dyDescent="0.2">
      <c r="A15" s="23" t="s">
        <v>42</v>
      </c>
      <c r="B15" s="921"/>
      <c r="C15" s="919"/>
      <c r="D15" s="921"/>
      <c r="E15" s="919"/>
      <c r="F15" s="923"/>
      <c r="G15" s="919"/>
      <c r="H15" s="919"/>
    </row>
    <row r="16" spans="1:9" x14ac:dyDescent="0.2">
      <c r="A16" s="41" t="str">
        <f>inputPrYr!B19</f>
        <v>General</v>
      </c>
      <c r="B16" s="139">
        <f>IF(General!$C$107&lt;&gt;0,General!$C$107,"  ")</f>
        <v>620458</v>
      </c>
      <c r="C16" s="35">
        <f>IF(inputPrYr!D66&gt;0,inputPrYr!D66,"  ")</f>
        <v>38.761000000000003</v>
      </c>
      <c r="D16" s="139">
        <f>IF(General!$D$107&lt;&gt;0,General!$D$107,"  ")</f>
        <v>686131</v>
      </c>
      <c r="E16" s="35">
        <f>IF(inputOth!D24&gt;0,inputOth!D24,"  ")</f>
        <v>38.04</v>
      </c>
      <c r="F16" s="139">
        <f>IF(General!$E$107&lt;&gt;0,General!$E$107,"  ")</f>
        <v>729701</v>
      </c>
      <c r="G16" s="139">
        <f>IF(General!$E$114&lt;&gt;0,General!$E$114,"  ")</f>
        <v>217110</v>
      </c>
      <c r="H16" s="35">
        <f>IF(General!E114&gt;0,ROUND(G16/$F$49*1000,3),"  ")</f>
        <v>29.513999999999999</v>
      </c>
    </row>
    <row r="17" spans="1:13" x14ac:dyDescent="0.2">
      <c r="A17" s="41" t="str">
        <f>IF(inputPrYr!$B20&gt;"  ",(inputPrYr!$B20),"  ")</f>
        <v>Debt Service</v>
      </c>
      <c r="B17" s="139" t="str">
        <f>IF('DebtSvs-Library'!C35&lt;&gt;0,'DebtSvs-Library'!C35,"  ")</f>
        <v xml:space="preserve">  </v>
      </c>
      <c r="C17" s="35" t="str">
        <f>IF(inputPrYr!D67&gt;0,inputPrYr!D67,"  ")</f>
        <v xml:space="preserve">  </v>
      </c>
      <c r="D17" s="139" t="str">
        <f>IF('DebtSvs-Library'!D35&lt;&gt;0,'DebtSvs-Library'!D35,"  ")</f>
        <v xml:space="preserve">  </v>
      </c>
      <c r="E17" s="35" t="str">
        <f>IF(inputOth!D25&gt;0,inputOth!D25,"  ")</f>
        <v xml:space="preserve">  </v>
      </c>
      <c r="F17" s="139" t="str">
        <f>IF('DebtSvs-Library'!E35&lt;&gt;0,'DebtSvs-Library'!E35,"  ")</f>
        <v xml:space="preserve">  </v>
      </c>
      <c r="G17" s="139" t="str">
        <f>IF('DebtSvs-Library'!E42&lt;&gt;0,'DebtSvs-Library'!E42," ")</f>
        <v xml:space="preserve"> </v>
      </c>
      <c r="H17" s="35" t="str">
        <f>IF('DebtSvs-Library'!E42&gt;0,ROUND(G17/$F$49*1000,3)," ")</f>
        <v xml:space="preserve"> </v>
      </c>
    </row>
    <row r="18" spans="1:13" x14ac:dyDescent="0.2">
      <c r="A18" s="41" t="str">
        <f>IF(inputPrYr!$B21&gt;"  ",(inputPrYr!$B21),"  ")</f>
        <v>Library</v>
      </c>
      <c r="B18" s="139" t="str">
        <f>IF('DebtSvs-Library'!C74&lt;&gt;0,'DebtSvs-Library'!C74,"  ")</f>
        <v xml:space="preserve">  </v>
      </c>
      <c r="C18" s="35" t="str">
        <f>IF(inputPrYr!D68&gt;0,inputPrYr!D68,"  ")</f>
        <v xml:space="preserve">  </v>
      </c>
      <c r="D18" s="139" t="str">
        <f>IF('DebtSvs-Library'!D74&lt;&gt;0,'DebtSvs-Library'!D74,"  ")</f>
        <v xml:space="preserve">  </v>
      </c>
      <c r="E18" s="35" t="str">
        <f>IF(inputOth!D26&gt;0,inputOth!D26,"  ")</f>
        <v xml:space="preserve">  </v>
      </c>
      <c r="F18" s="139" t="str">
        <f>IF('DebtSvs-Library'!E74&lt;&gt;0,'DebtSvs-Library'!E74,"  ")</f>
        <v xml:space="preserve">  </v>
      </c>
      <c r="G18" s="139" t="str">
        <f>IF('DebtSvs-Library'!E81&lt;&gt;0,'DebtSvs-Library'!E81," ")</f>
        <v xml:space="preserve"> </v>
      </c>
      <c r="H18" s="35" t="str">
        <f>IF('DebtSvs-Library'!E81&gt;0,ROUND(G18/$F$49*1000,3)," ")</f>
        <v xml:space="preserve"> </v>
      </c>
    </row>
    <row r="19" spans="1:13" x14ac:dyDescent="0.2">
      <c r="A19" s="41" t="str">
        <f>IF(inputPrYr!$B23&gt;"  ",(inputPrYr!$B23),"  ")</f>
        <v>Bond &amp; Interest</v>
      </c>
      <c r="B19" s="139">
        <f>IF('Bond &amp; Interest'!$C$33&gt;0,'Bond &amp; Interest'!$C$33,"  ")</f>
        <v>106867</v>
      </c>
      <c r="C19" s="35" t="str">
        <f>IF(inputPrYr!D69&gt;0,inputPrYr!D69,"  ")</f>
        <v xml:space="preserve">  </v>
      </c>
      <c r="D19" s="139">
        <f>IF('Bond &amp; Interest'!$D$33&gt;0,'Bond &amp; Interest'!$D$33,"  ")</f>
        <v>108000</v>
      </c>
      <c r="E19" s="35" t="str">
        <f>IF(inputOth!D27&gt;0,inputOth!D27,"  ")</f>
        <v xml:space="preserve">  </v>
      </c>
      <c r="F19" s="139">
        <f>IF('Bond &amp; Interest'!$E$33&gt;0,'Bond &amp; Interest'!$E$33,"  ")</f>
        <v>182393</v>
      </c>
      <c r="G19" s="139" t="str">
        <f>IF('Bond &amp; Interest'!$E$40&lt;&gt;0,'Bond &amp; Interest'!$E$40,"  ")</f>
        <v xml:space="preserve">  </v>
      </c>
      <c r="H19" s="35" t="str">
        <f>IF('Bond &amp; Interest'!E40&lt;&gt;0,ROUND(G19/$F$49*1000,3),"  ")</f>
        <v xml:space="preserve">  </v>
      </c>
    </row>
    <row r="20" spans="1:13" x14ac:dyDescent="0.2">
      <c r="A20" s="41" t="str">
        <f>IF(inputPrYr!$B24&gt;"  ",(inputPrYr!$B24),"  ")</f>
        <v xml:space="preserve">  </v>
      </c>
      <c r="B20" s="139" t="str">
        <f>IF('Bond &amp; Interest'!$C$75&gt;0,'Bond &amp; Interest'!$C$75,"  ")</f>
        <v xml:space="preserve">  </v>
      </c>
      <c r="C20" s="35" t="str">
        <f>IF(inputPrYr!D70&gt;0,inputPrYr!D70,"  ")</f>
        <v xml:space="preserve">  </v>
      </c>
      <c r="D20" s="139" t="str">
        <f>IF('Bond &amp; Interest'!$D$75&gt;0,'Bond &amp; Interest'!$D$75,"  ")</f>
        <v xml:space="preserve">  </v>
      </c>
      <c r="E20" s="35" t="str">
        <f>IF(inputOth!D28&gt;0,inputOth!D28,"  ")</f>
        <v xml:space="preserve">  </v>
      </c>
      <c r="F20" s="139" t="str">
        <f>IF('Bond &amp; Interest'!$E$75&gt;0,'Bond &amp; Interest'!$E$75,"  ")</f>
        <v xml:space="preserve">  </v>
      </c>
      <c r="G20" s="139" t="str">
        <f>IF('Bond &amp; Interest'!$E$82&lt;&gt;0,'Bond &amp; Interest'!$E$82,"  ")</f>
        <v xml:space="preserve">  </v>
      </c>
      <c r="H20" s="35" t="str">
        <f>IF('Bond &amp; Interest'!E82&lt;&gt;0,ROUND(G20/$F$49*1000,3),"  ")</f>
        <v xml:space="preserve">  </v>
      </c>
    </row>
    <row r="21" spans="1:13" x14ac:dyDescent="0.2">
      <c r="A21" s="41" t="str">
        <f>IF(inputPrYr!$B25&gt;"  ",(inputPrYr!$B25),"  ")</f>
        <v xml:space="preserve">  </v>
      </c>
      <c r="B21" s="139" t="str">
        <f>IF('Levy Page 10'!$C$32&gt;0,'Levy Page 10'!$C$32,"  ")</f>
        <v xml:space="preserve">  </v>
      </c>
      <c r="C21" s="35" t="str">
        <f>IF(inputPrYr!D71&gt;0,inputPrYr!D71,"  ")</f>
        <v xml:space="preserve">  </v>
      </c>
      <c r="D21" s="139" t="str">
        <f>IF('Levy Page 10'!$D$32&gt;0,'Levy Page 10'!$D$32,"  ")</f>
        <v xml:space="preserve">  </v>
      </c>
      <c r="E21" s="35" t="str">
        <f>IF(inputOth!D29&gt;0,inputOth!D29,"  ")</f>
        <v xml:space="preserve">  </v>
      </c>
      <c r="F21" s="139" t="str">
        <f>IF('Levy Page 10'!$E$32&gt;0,'Levy Page 10'!$E$32,"  ")</f>
        <v xml:space="preserve">  </v>
      </c>
      <c r="G21" s="139" t="str">
        <f>IF('Levy Page 10'!$E$39&lt;&gt;0,'Levy Page 10'!$E$39,"  ")</f>
        <v xml:space="preserve">  </v>
      </c>
      <c r="H21" s="35" t="str">
        <f>IF('Levy Page 10'!E39&lt;&gt;0,ROUND(G21/$F$49*1000,3),"  ")</f>
        <v xml:space="preserve">  </v>
      </c>
    </row>
    <row r="22" spans="1:13" x14ac:dyDescent="0.2">
      <c r="A22" s="41" t="str">
        <f>IF(inputPrYr!$B26&gt;"  ",(inputPrYr!$B26),"  ")</f>
        <v xml:space="preserve">  </v>
      </c>
      <c r="B22" s="139" t="str">
        <f>IF('Levy Page 10'!$C$74&gt;0,'Levy Page 10'!$C$74,"  ")</f>
        <v xml:space="preserve">  </v>
      </c>
      <c r="C22" s="35" t="str">
        <f>IF(inputPrYr!D72&gt;0,inputPrYr!D72,"  ")</f>
        <v xml:space="preserve">  </v>
      </c>
      <c r="D22" s="139" t="str">
        <f>IF('Levy Page 10'!$D$74&gt;0,'Levy Page 10'!$D$74,"  ")</f>
        <v xml:space="preserve">  </v>
      </c>
      <c r="E22" s="35" t="str">
        <f>IF(inputOth!D30&gt;0,inputOth!D30,"  ")</f>
        <v xml:space="preserve">  </v>
      </c>
      <c r="F22" s="139" t="str">
        <f>IF('Levy Page 10'!$E$74&gt;0,'Levy Page 10'!$E$74,"  ")</f>
        <v xml:space="preserve">  </v>
      </c>
      <c r="G22" s="139" t="str">
        <f>IF('Levy Page 10'!$E$81&lt;&gt;0,'Levy Page 10'!$E$81,"  ")</f>
        <v xml:space="preserve">  </v>
      </c>
      <c r="H22" s="35" t="str">
        <f>IF('Levy Page 10'!E81&lt;&gt;0,ROUND(G22/$F$49*1000,3),"  ")</f>
        <v xml:space="preserve">  </v>
      </c>
    </row>
    <row r="23" spans="1:13" x14ac:dyDescent="0.2">
      <c r="A23" s="41" t="str">
        <f>IF(inputPrYr!$B27&gt;"  ",(inputPrYr!$B27),"  ")</f>
        <v xml:space="preserve">  </v>
      </c>
      <c r="B23" s="139" t="str">
        <f>IF('Levy Page 11'!$C$35&gt;0,'Levy Page 11'!$C$35,"  ")</f>
        <v xml:space="preserve">  </v>
      </c>
      <c r="C23" s="35" t="str">
        <f>IF(inputPrYr!D73&gt;0,inputPrYr!D73,"  ")</f>
        <v xml:space="preserve">  </v>
      </c>
      <c r="D23" s="139" t="str">
        <f>IF('Levy Page 11'!$D$35&gt;0,'Levy Page 11'!$D$35,"  ")</f>
        <v xml:space="preserve">  </v>
      </c>
      <c r="E23" s="35" t="str">
        <f>IF(inputOth!D31&gt;0,inputOth!D31,"  ")</f>
        <v xml:space="preserve">  </v>
      </c>
      <c r="F23" s="139" t="str">
        <f>IF('Levy Page 11'!$E$35&gt;0,'Levy Page 11'!$E$35,"  ")</f>
        <v xml:space="preserve">  </v>
      </c>
      <c r="G23" s="139" t="str">
        <f>IF('Levy Page 11'!$E$42&lt;&gt;0,'Levy Page 11'!$E$42,"  ")</f>
        <v xml:space="preserve">  </v>
      </c>
      <c r="H23" s="35" t="str">
        <f>IF('Levy Page 11'!E42&lt;&gt;0,ROUND(G23/$F$49*1000,3),"  ")</f>
        <v xml:space="preserve">  </v>
      </c>
    </row>
    <row r="24" spans="1:13" x14ac:dyDescent="0.2">
      <c r="A24" s="41" t="str">
        <f>IF(inputPrYr!$B28&gt;"  ",(inputPrYr!$B28),"  ")</f>
        <v xml:space="preserve">  </v>
      </c>
      <c r="B24" s="139" t="str">
        <f>IF('Levy Page 11'!$C$75&gt;0,'Levy Page 11'!$C$75,"  ")</f>
        <v xml:space="preserve">  </v>
      </c>
      <c r="C24" s="35" t="str">
        <f>IF(inputPrYr!D74&gt;0,inputPrYr!D74,"  ")</f>
        <v xml:space="preserve">  </v>
      </c>
      <c r="D24" s="139" t="str">
        <f>IF('Levy Page 11'!$D$75&gt;0,'Levy Page 11'!$D$75,"  ")</f>
        <v xml:space="preserve">  </v>
      </c>
      <c r="E24" s="35" t="str">
        <f>IF(inputOth!D32&gt;0,inputOth!D32,"  ")</f>
        <v xml:space="preserve">  </v>
      </c>
      <c r="F24" s="139" t="str">
        <f>IF('Levy Page 11'!$E$75&gt;0,'Levy Page 11'!$E$75,"  ")</f>
        <v xml:space="preserve">  </v>
      </c>
      <c r="G24" s="139" t="str">
        <f>IF('Levy Page 11'!$E$82&lt;&gt;0,'Levy Page 11'!$E$82,"  ")</f>
        <v xml:space="preserve">  </v>
      </c>
      <c r="H24" s="35" t="str">
        <f>IF('Levy Page 11'!E82&lt;&gt;0,ROUND(G24/$F$49*1000,3),"  ")</f>
        <v xml:space="preserve">  </v>
      </c>
    </row>
    <row r="25" spans="1:13" x14ac:dyDescent="0.2">
      <c r="A25" s="41" t="str">
        <f>IF(inputPrYr!$B29&gt;"  ",(inputPrYr!$B29),"  ")</f>
        <v xml:space="preserve">  </v>
      </c>
      <c r="B25" s="139" t="str">
        <f>IF('Levy Page 12'!$C$35&gt;0,'Levy Page 12'!$C$35,"  ")</f>
        <v xml:space="preserve">  </v>
      </c>
      <c r="C25" s="35" t="str">
        <f>IF(inputPrYr!D75&gt;0,inputPrYr!D75,"  ")</f>
        <v xml:space="preserve">  </v>
      </c>
      <c r="D25" s="139" t="str">
        <f>IF('Levy Page 12'!$D$35&gt;0,'Levy Page 12'!$D$35,"  ")</f>
        <v xml:space="preserve">  </v>
      </c>
      <c r="E25" s="35" t="str">
        <f>IF(inputOth!D33&gt;0,inputOth!D33,"  ")</f>
        <v xml:space="preserve">  </v>
      </c>
      <c r="F25" s="139" t="str">
        <f>IF('Levy Page 12'!$E$35&gt;0,'Levy Page 12'!$E$35,"  ")</f>
        <v xml:space="preserve">  </v>
      </c>
      <c r="G25" s="139" t="str">
        <f>IF('Levy Page 12'!$E$42&lt;&gt;0,'Levy Page 12'!$E$42,"  ")</f>
        <v xml:space="preserve">  </v>
      </c>
      <c r="H25" s="35" t="str">
        <f>IF('Levy Page 12'!E42&lt;&gt;0,ROUND(G25/$F$49*1000,3),"  ")</f>
        <v xml:space="preserve">  </v>
      </c>
    </row>
    <row r="26" spans="1:13" x14ac:dyDescent="0.2">
      <c r="A26" s="41" t="str">
        <f>IF(inputPrYr!$B30&gt;"  ",(inputPrYr!$B30),"  ")</f>
        <v xml:space="preserve">  </v>
      </c>
      <c r="B26" s="139" t="str">
        <f>IF('Levy Page 12'!$C$74&gt;0,'Levy Page 12'!$C$74,"  ")</f>
        <v xml:space="preserve">  </v>
      </c>
      <c r="C26" s="35" t="str">
        <f>IF(inputPrYr!D76&gt;0,inputPrYr!D76,"  ")</f>
        <v xml:space="preserve">  </v>
      </c>
      <c r="D26" s="139" t="str">
        <f>IF('Levy Page 12'!$D$74&gt;0,'Levy Page 12'!$D$74,"  ")</f>
        <v xml:space="preserve">  </v>
      </c>
      <c r="E26" s="35" t="str">
        <f>IF(inputOth!D34&gt;0,inputOth!D34,"  ")</f>
        <v xml:space="preserve">  </v>
      </c>
      <c r="F26" s="139" t="str">
        <f>IF('Levy Page 12'!$E$74&gt;0,'Levy Page 12'!$E$74,"  ")</f>
        <v xml:space="preserve">  </v>
      </c>
      <c r="G26" s="139" t="str">
        <f>IF('Levy Page 12'!$E$81&lt;&gt;0,'Levy Page 12'!$E$81,"  ")</f>
        <v xml:space="preserve">  </v>
      </c>
      <c r="H26" s="35" t="str">
        <f>IF('Levy Page 12'!E81&lt;&gt;0,ROUND(G26/$F$49*1000,3),"  ")</f>
        <v xml:space="preserve">  </v>
      </c>
    </row>
    <row r="27" spans="1:13" x14ac:dyDescent="0.2">
      <c r="A27" s="41" t="str">
        <f>IF(inputPrYr!$B31&gt;"  ",(inputPrYr!$B31),"  ")</f>
        <v xml:space="preserve">  </v>
      </c>
      <c r="B27" s="139" t="str">
        <f>IF('Levy Page 13'!$C$32&gt;0,'Levy Page 13'!$C$32,"  ")</f>
        <v xml:space="preserve">  </v>
      </c>
      <c r="C27" s="35" t="str">
        <f>IF(inputPrYr!D77&gt;0,inputPrYr!D77,"  ")</f>
        <v xml:space="preserve">  </v>
      </c>
      <c r="D27" s="139" t="str">
        <f>IF('Levy Page 13'!$D$32&gt;0,'Levy Page 13'!$D$32,"  ")</f>
        <v xml:space="preserve">  </v>
      </c>
      <c r="E27" s="35" t="str">
        <f>IF(inputOth!D35&gt;0,inputOth!D35,"  ")</f>
        <v xml:space="preserve">  </v>
      </c>
      <c r="F27" s="139" t="str">
        <f>IF('Levy Page 13'!$E$32&gt;0,'Levy Page 13'!$E$32,"  ")</f>
        <v xml:space="preserve">  </v>
      </c>
      <c r="G27" s="139" t="str">
        <f>IF('Levy Page 13'!$E$39&lt;&gt;0,'Levy Page 13'!$E$39,"  ")</f>
        <v xml:space="preserve">  </v>
      </c>
      <c r="H27" s="35" t="str">
        <f>IF('Levy Page 13'!E39&lt;&gt;0,ROUND(G27/$F$49*1000,3),"  ")</f>
        <v xml:space="preserve">  </v>
      </c>
    </row>
    <row r="28" spans="1:13" x14ac:dyDescent="0.2">
      <c r="A28" s="41" t="str">
        <f>IF(inputPrYr!$B32&gt;"  ",(inputPrYr!$B32),"  ")</f>
        <v xml:space="preserve">  </v>
      </c>
      <c r="B28" s="139" t="str">
        <f>IF('Levy Page 13'!$C$74&gt;0,'Levy Page 13'!$C$74,"  ")</f>
        <v xml:space="preserve">  </v>
      </c>
      <c r="C28" s="35" t="str">
        <f>IF(inputPrYr!D78&gt;0,inputPrYr!D78,"  ")</f>
        <v xml:space="preserve">  </v>
      </c>
      <c r="D28" s="139" t="str">
        <f>IF('Levy Page 13'!$D$74&gt;0,'Levy Page 13'!$D$74,"  ")</f>
        <v xml:space="preserve">  </v>
      </c>
      <c r="E28" s="35" t="str">
        <f>IF(inputOth!D36&gt;0,inputOth!D36,"  ")</f>
        <v xml:space="preserve">  </v>
      </c>
      <c r="F28" s="139" t="str">
        <f>IF('Levy Page 13'!$E$74&gt;0,'Levy Page 13'!$E$74,"  ")</f>
        <v xml:space="preserve">  </v>
      </c>
      <c r="G28" s="139" t="str">
        <f>IF('Levy Page 13'!$E$81&lt;&gt;0,'Levy Page 13'!$E$81,"  ")</f>
        <v xml:space="preserve">  </v>
      </c>
      <c r="H28" s="35" t="str">
        <f>IF('Levy Page 13'!E81&lt;&gt;0,ROUND(G28/$F$49*1000,3),"  ")</f>
        <v xml:space="preserve">  </v>
      </c>
    </row>
    <row r="29" spans="1:13" x14ac:dyDescent="0.2">
      <c r="A29" s="41" t="str">
        <f>IF(inputPrYr!$B36&gt;"  ",(inputPrYr!$B36),"  ")</f>
        <v>Special Highway</v>
      </c>
      <c r="B29" s="139">
        <f>IF('Spec Hwy &amp; RHID'!$C$25&gt;0,'Spec Hwy &amp; RHID'!$C$25,"  ")</f>
        <v>52089</v>
      </c>
      <c r="C29" s="24"/>
      <c r="D29" s="139">
        <f>IF('Spec Hwy &amp; RHID'!$D$25&gt;0,'Spec Hwy &amp; RHID'!$D$25,"  ")</f>
        <v>90000</v>
      </c>
      <c r="E29" s="24"/>
      <c r="F29" s="139">
        <f>IF('Spec Hwy &amp; RHID'!$E$25&gt;0,'Spec Hwy &amp; RHID'!$E$25,"  ")</f>
        <v>172841</v>
      </c>
      <c r="G29" s="139"/>
      <c r="H29" s="24"/>
    </row>
    <row r="30" spans="1:13" x14ac:dyDescent="0.2">
      <c r="A30" s="41" t="str">
        <f>IF(inputPrYr!$B37&gt;"  ",(inputPrYr!$B37),"  ")</f>
        <v xml:space="preserve">RHID </v>
      </c>
      <c r="B30" s="139" t="str">
        <f>IF('Spec Hwy &amp; RHID'!$C$56&gt;0,'Spec Hwy &amp; RHID'!$C$56,"  ")</f>
        <v xml:space="preserve">  </v>
      </c>
      <c r="C30" s="24"/>
      <c r="D30" s="139" t="str">
        <f>IF('Spec Hwy &amp; RHID'!$D$56&gt;0,'Spec Hwy &amp; RHID'!$D$56,"  ")</f>
        <v xml:space="preserve">  </v>
      </c>
      <c r="E30" s="24"/>
      <c r="F30" s="139">
        <f>IF('Spec Hwy &amp; RHID'!$E$56&gt;0,'Spec Hwy &amp; RHID'!$E$56,"  ")</f>
        <v>60000</v>
      </c>
      <c r="G30" s="139"/>
      <c r="H30" s="24"/>
    </row>
    <row r="31" spans="1:13" x14ac:dyDescent="0.2">
      <c r="A31" s="41" t="str">
        <f>IF(inputPrYr!$B38&gt;"  ",(inputPrYr!$B38),"  ")</f>
        <v>Water Utility</v>
      </c>
      <c r="B31" s="139">
        <f>IF('Water &amp; Sewer'!$C$32&gt;0,'Water &amp; Sewer'!$C$32,"  ")</f>
        <v>232439</v>
      </c>
      <c r="C31" s="24"/>
      <c r="D31" s="139">
        <f>IF('Water &amp; Sewer'!$D$32&gt;0,'Water &amp; Sewer'!$D$32,"  ")</f>
        <v>281660</v>
      </c>
      <c r="E31" s="24"/>
      <c r="F31" s="139">
        <f>IF('Water &amp; Sewer'!$E$32&gt;0,'Water &amp; Sewer'!$E$32,"  ")</f>
        <v>543500</v>
      </c>
      <c r="G31" s="139"/>
      <c r="H31" s="24"/>
    </row>
    <row r="32" spans="1:13" x14ac:dyDescent="0.25">
      <c r="A32" s="41" t="str">
        <f>IF(inputPrYr!$B39&gt;"  ",(inputPrYr!$B39),"  ")</f>
        <v>Sewer Utility</v>
      </c>
      <c r="B32" s="139">
        <f>IF('Water &amp; Sewer'!$C$69&gt;0,'Water &amp; Sewer'!$C$69,"  ")</f>
        <v>206613</v>
      </c>
      <c r="C32" s="24"/>
      <c r="D32" s="139">
        <f>IF('Water &amp; Sewer'!$D$69&gt;0,'Water &amp; Sewer'!$D$69,"  ")</f>
        <v>287800</v>
      </c>
      <c r="E32" s="24"/>
      <c r="F32" s="139">
        <f>IF('Water &amp; Sewer'!$E$69&gt;0,'Water &amp; Sewer'!$E$69,"  ")</f>
        <v>3821000</v>
      </c>
      <c r="G32" s="139"/>
      <c r="H32" s="24"/>
      <c r="J32" s="924" t="str">
        <f>CONCATENATE("Estimated Value Of One Mill For ",H1,"")</f>
        <v>Estimated Value Of One Mill For 2023</v>
      </c>
      <c r="K32" s="925"/>
      <c r="L32" s="925"/>
      <c r="M32" s="926"/>
    </row>
    <row r="33" spans="1:13" x14ac:dyDescent="0.25">
      <c r="A33" s="41" t="str">
        <f>IF(inputPrYr!$B40&gt;"  ",(inputPrYr!$B40),"  ")</f>
        <v xml:space="preserve">Solid Waste Utility </v>
      </c>
      <c r="B33" s="139">
        <f>IF(Trash!$C$26&gt;0,Trash!$C$26,"  ")</f>
        <v>116641</v>
      </c>
      <c r="C33" s="24"/>
      <c r="D33" s="139">
        <f>IF(Trash!$D$26&gt;0,Trash!$D$26,"  ")</f>
        <v>115000</v>
      </c>
      <c r="E33" s="24"/>
      <c r="F33" s="139">
        <f>IF(Trash!$E$26&gt;0,Trash!$E$26,"  ")</f>
        <v>258000</v>
      </c>
      <c r="G33" s="139"/>
      <c r="H33" s="24"/>
      <c r="J33" s="409"/>
      <c r="K33" s="410"/>
      <c r="L33" s="410"/>
      <c r="M33" s="411"/>
    </row>
    <row r="34" spans="1:13" x14ac:dyDescent="0.25">
      <c r="A34" s="41" t="str">
        <f>IF(inputPrYr!$B41&gt;"  ",(inputPrYr!$B41),"  ")</f>
        <v xml:space="preserve">  </v>
      </c>
      <c r="B34" s="139" t="str">
        <f>IF(Trash!$C$57&gt;0,Trash!$C$57,"  ")</f>
        <v xml:space="preserve">  </v>
      </c>
      <c r="C34" s="24"/>
      <c r="D34" s="139" t="str">
        <f>IF(Trash!$D$57&gt;0,Trash!$D$57,"  ")</f>
        <v xml:space="preserve">  </v>
      </c>
      <c r="E34" s="24"/>
      <c r="F34" s="139" t="str">
        <f>IF(Trash!$E$57&gt;0,Trash!$E$57,"  ")</f>
        <v xml:space="preserve">  </v>
      </c>
      <c r="G34" s="139"/>
      <c r="H34" s="24"/>
      <c r="J34" s="412" t="s">
        <v>616</v>
      </c>
      <c r="K34" s="413"/>
      <c r="L34" s="413"/>
      <c r="M34" s="626">
        <f>ROUND(F49/1000,0)</f>
        <v>7356</v>
      </c>
    </row>
    <row r="35" spans="1:13" x14ac:dyDescent="0.2">
      <c r="A35" s="41" t="str">
        <f>IF(inputPrYr!$B42&gt;"  ",(inputPrYr!$B42),"  ")</f>
        <v xml:space="preserve">  </v>
      </c>
      <c r="B35" s="139" t="str">
        <f>IF('No Levy Page 17'!$C$26&gt;0,'No Levy Page 17'!$C$26,"  ")</f>
        <v xml:space="preserve">  </v>
      </c>
      <c r="C35" s="24"/>
      <c r="D35" s="139" t="str">
        <f>IF('No Levy Page 17'!$D$26&gt;0,'No Levy Page 17'!$D$26,"  ")</f>
        <v xml:space="preserve">  </v>
      </c>
      <c r="E35" s="24"/>
      <c r="F35" s="139" t="str">
        <f>IF('No Levy Page 17'!$E$26&gt;0,'No Levy Page 17'!$E$26,"  ")</f>
        <v xml:space="preserve">  </v>
      </c>
      <c r="G35" s="139"/>
      <c r="H35" s="24"/>
    </row>
    <row r="36" spans="1:13" x14ac:dyDescent="0.25">
      <c r="A36" s="41" t="str">
        <f>IF(inputPrYr!$B43&gt;"  ",(inputPrYr!$B43),"  ")</f>
        <v xml:space="preserve">  </v>
      </c>
      <c r="B36" s="139" t="str">
        <f>IF('No Levy Page 17'!$C$57&gt;0,'No Levy Page 17'!$C$57,"  ")</f>
        <v xml:space="preserve">  </v>
      </c>
      <c r="C36" s="24"/>
      <c r="D36" s="139" t="str">
        <f>IF('No Levy Page 17'!$D$57&gt;0,'No Levy Page 17'!$D$57,"  ")</f>
        <v xml:space="preserve">  </v>
      </c>
      <c r="E36" s="24"/>
      <c r="F36" s="139" t="str">
        <f>IF('No Levy Page 17'!$E$57&gt;0,'No Levy Page 17'!$E$57,"  ")</f>
        <v xml:space="preserve">  </v>
      </c>
      <c r="G36" s="139"/>
      <c r="H36" s="24"/>
      <c r="J36" s="924" t="str">
        <f>CONCATENATE("Want The Mill Rate The Same As For ",H1-1,"?")</f>
        <v>Want The Mill Rate The Same As For 2022?</v>
      </c>
      <c r="K36" s="925"/>
      <c r="L36" s="925"/>
      <c r="M36" s="926"/>
    </row>
    <row r="37" spans="1:13" x14ac:dyDescent="0.25">
      <c r="A37" s="41" t="str">
        <f>IF(inputPrYr!$B46&gt;"  ",(inputPrYr!$B46),"  ")</f>
        <v xml:space="preserve">  </v>
      </c>
      <c r="B37" s="139" t="str">
        <f>IF('Single No Levy Page 18'!$C$44&gt;0,'Single No Levy Page 18'!$C$44,"  ")</f>
        <v xml:space="preserve">  </v>
      </c>
      <c r="C37" s="24"/>
      <c r="D37" s="139" t="str">
        <f>IF('Single No Levy Page 18'!$D$44&gt;0,'Single No Levy Page 18'!$D$44,"  ")</f>
        <v xml:space="preserve">  </v>
      </c>
      <c r="E37" s="24"/>
      <c r="F37" s="139" t="str">
        <f>IF('Single No Levy Page 18'!$E$44&gt;0,'Single No Levy Page 18'!$E$44,"  ")</f>
        <v xml:space="preserve">  </v>
      </c>
      <c r="G37" s="139"/>
      <c r="H37" s="24"/>
      <c r="J37" s="416"/>
      <c r="K37" s="410"/>
      <c r="L37" s="410"/>
      <c r="M37" s="417"/>
    </row>
    <row r="38" spans="1:13" x14ac:dyDescent="0.25">
      <c r="A38" s="41" t="str">
        <f>IF(inputPrYr!$B47&gt;"  ",(inputPrYr!$B47),"  ")</f>
        <v xml:space="preserve">  </v>
      </c>
      <c r="B38" s="139" t="str">
        <f>IF('Single No Levy Page 19'!$C$44&gt;0,'Single No Levy Page 19'!$C$44,"  ")</f>
        <v xml:space="preserve">  </v>
      </c>
      <c r="C38" s="24"/>
      <c r="D38" s="139" t="str">
        <f>IF('Single No Levy Page 19'!$D$44&gt;0,'Single No Levy Page 19'!$D$44,"  ")</f>
        <v xml:space="preserve">  </v>
      </c>
      <c r="E38" s="24"/>
      <c r="F38" s="139" t="str">
        <f>IF('Single No Levy Page 19'!$E$44&gt;0,'Single No Levy Page 19'!$E$44,"  ")</f>
        <v xml:space="preserve">  </v>
      </c>
      <c r="G38" s="139"/>
      <c r="H38" s="24"/>
      <c r="J38" s="416" t="str">
        <f>CONCATENATE("",H1-1," Mill Rate Was:")</f>
        <v>2022 Mill Rate Was:</v>
      </c>
      <c r="K38" s="410"/>
      <c r="L38" s="410"/>
      <c r="M38" s="418">
        <f>E43</f>
        <v>38.04</v>
      </c>
    </row>
    <row r="39" spans="1:13" x14ac:dyDescent="0.25">
      <c r="A39" s="41" t="str">
        <f>IF(inputPrYr!$B48&gt;"  ",(inputPrYr!$B48),"  ")</f>
        <v xml:space="preserve">  </v>
      </c>
      <c r="B39" s="139" t="str">
        <f>IF('Single No Levy Page 20'!$C$45&gt;0,'Single No Levy Page 20'!$C$45,"  ")</f>
        <v xml:space="preserve">  </v>
      </c>
      <c r="C39" s="24"/>
      <c r="D39" s="139" t="str">
        <f>IF('Single No Levy Page 20'!$D$45&gt;0,'Single No Levy Page 20'!$D$45,"  ")</f>
        <v xml:space="preserve">  </v>
      </c>
      <c r="E39" s="24"/>
      <c r="F39" s="139" t="str">
        <f>IF('Single No Levy Page 20'!$E$45&gt;0,'Single No Levy Page 20'!$E$45,"  ")</f>
        <v xml:space="preserve">  </v>
      </c>
      <c r="G39" s="139"/>
      <c r="H39" s="24"/>
      <c r="J39" s="419" t="str">
        <f>CONCATENATE("",H1," Tax Levy Fund Expenditures Must Be")</f>
        <v>2023 Tax Levy Fund Expenditures Must Be</v>
      </c>
      <c r="K39" s="420"/>
      <c r="L39" s="420"/>
      <c r="M39" s="417"/>
    </row>
    <row r="40" spans="1:13" x14ac:dyDescent="0.25">
      <c r="A40" s="41" t="str">
        <f>IF(inputPrYr!$B49&gt;"  ",(inputPrYr!$B49),"  ")</f>
        <v xml:space="preserve">  </v>
      </c>
      <c r="B40" s="139" t="str">
        <f>IF('Single No Levy Page 21'!$C$44&gt;0,'Single No Levy Page 21'!$C$44,"  ")</f>
        <v xml:space="preserve">  </v>
      </c>
      <c r="C40" s="24"/>
      <c r="D40" s="139" t="str">
        <f>IF('Single No Levy Page 21'!$D$44&gt;0,'Single No Levy Page 21'!$D$44,"  ")</f>
        <v xml:space="preserve">  </v>
      </c>
      <c r="E40" s="24"/>
      <c r="F40" s="139" t="str">
        <f>IF('Single No Levy Page 21'!$E$44&gt;0,'Single No Levy Page 21'!$E$44,"  ")</f>
        <v xml:space="preserve">  </v>
      </c>
      <c r="G40" s="139"/>
      <c r="H40" s="24"/>
      <c r="J40" s="419" t="str">
        <f>IF(M40&gt;0,"Increased By:","")</f>
        <v>Increased By:</v>
      </c>
      <c r="K40" s="420"/>
      <c r="L40" s="420"/>
      <c r="M40" s="455">
        <f>IF(M47&lt;0,M47*-1,0)</f>
        <v>62723</v>
      </c>
    </row>
    <row r="41" spans="1:13" x14ac:dyDescent="0.2">
      <c r="A41" s="41" t="str">
        <f>IF(inputPrYr!$B53&gt;" ",('Non-Budgeted Funds A'!$A3),"  ")</f>
        <v>Non-Budgeted Funds-A</v>
      </c>
      <c r="B41" s="139">
        <f>IF('Non-Budgeted Funds A'!$K$28&gt;0,'Non-Budgeted Funds A'!$K$28,"  ")</f>
        <v>30614</v>
      </c>
      <c r="C41" s="24"/>
      <c r="D41" s="139"/>
      <c r="E41" s="24"/>
      <c r="F41" s="139"/>
      <c r="G41" s="139"/>
      <c r="H41" s="24"/>
      <c r="J41" s="456" t="str">
        <f>IF(M41&lt;0,"Reduced By:","")</f>
        <v/>
      </c>
      <c r="K41" s="457"/>
      <c r="L41" s="457"/>
      <c r="M41" s="458">
        <f>IF(M47&gt;0,M47*-1,0)</f>
        <v>0</v>
      </c>
    </row>
    <row r="42" spans="1:13" x14ac:dyDescent="0.25">
      <c r="A42" s="41" t="str">
        <f>IF(inputPrYr!$B59&gt;" ",('Non-Budgeted Funds B'!$A3),"  ")</f>
        <v>Non-Budgeted Funds-B</v>
      </c>
      <c r="B42" s="336" t="str">
        <f>IF('Non-Budgeted Funds B'!$K$28&gt;0,'Non-Budgeted Funds B'!$K$28,"  ")</f>
        <v xml:space="preserve">  </v>
      </c>
      <c r="C42" s="97"/>
      <c r="D42" s="336"/>
      <c r="E42" s="97"/>
      <c r="F42" s="336"/>
      <c r="G42" s="336"/>
      <c r="H42" s="97"/>
      <c r="J42" s="423"/>
      <c r="K42" s="423"/>
      <c r="L42" s="423"/>
      <c r="M42" s="423"/>
    </row>
    <row r="43" spans="1:13" ht="16.5" thickBot="1" x14ac:dyDescent="0.3">
      <c r="A43" s="789" t="s">
        <v>619</v>
      </c>
      <c r="B43" s="310">
        <f>SUM(B16:B42)</f>
        <v>1365721</v>
      </c>
      <c r="C43" s="790">
        <f>SUM(C16:C28)</f>
        <v>38.761000000000003</v>
      </c>
      <c r="D43" s="310">
        <f>SUM(D16:D42)</f>
        <v>1568591</v>
      </c>
      <c r="E43" s="790">
        <f>SUM(E16:E28)</f>
        <v>38.04</v>
      </c>
      <c r="F43" s="310">
        <f>SUM(F16:F42)</f>
        <v>5767435</v>
      </c>
      <c r="G43" s="310">
        <f>SUM(G16:G42)</f>
        <v>217110</v>
      </c>
      <c r="H43" s="791">
        <f>SUM(H16:H28)</f>
        <v>29.513999999999999</v>
      </c>
      <c r="J43" s="924" t="str">
        <f>CONCATENATE("Impact On Keeping The Same Mill Rate As For ",H1-1,"")</f>
        <v>Impact On Keeping The Same Mill Rate As For 2022</v>
      </c>
      <c r="K43" s="929"/>
      <c r="L43" s="929"/>
      <c r="M43" s="930"/>
    </row>
    <row r="44" spans="1:13" ht="16.5" thickTop="1" x14ac:dyDescent="0.25">
      <c r="A44" s="933" t="s">
        <v>867</v>
      </c>
      <c r="B44" s="934"/>
      <c r="C44" s="934"/>
      <c r="D44" s="934"/>
      <c r="E44" s="934"/>
      <c r="F44" s="934"/>
      <c r="G44" s="935"/>
      <c r="H44" s="788">
        <f>inputOth!D20</f>
        <v>34.689</v>
      </c>
      <c r="I44" s="407"/>
      <c r="J44" s="416"/>
      <c r="K44" s="410"/>
      <c r="L44" s="410"/>
      <c r="M44" s="417"/>
    </row>
    <row r="45" spans="1:13" x14ac:dyDescent="0.25">
      <c r="A45" s="9" t="s">
        <v>44</v>
      </c>
      <c r="B45" s="335">
        <f>Transfers!C28</f>
        <v>25000</v>
      </c>
      <c r="C45" s="427"/>
      <c r="D45" s="335">
        <f>Transfers!D28</f>
        <v>45000</v>
      </c>
      <c r="E45" s="427"/>
      <c r="F45" s="335">
        <f>Transfers!E28</f>
        <v>245000</v>
      </c>
      <c r="G45" s="34"/>
      <c r="H45" s="28"/>
      <c r="J45" s="416" t="str">
        <f>CONCATENATE("",H1," Ad Valorem Tax Revenue:")</f>
        <v>2023 Ad Valorem Tax Revenue:</v>
      </c>
      <c r="K45" s="410"/>
      <c r="L45" s="410"/>
      <c r="M45" s="411">
        <f>G43</f>
        <v>217110</v>
      </c>
    </row>
    <row r="46" spans="1:13" ht="16.5" thickBot="1" x14ac:dyDescent="0.3">
      <c r="A46" s="9" t="s">
        <v>45</v>
      </c>
      <c r="B46" s="310">
        <f>B43-B45</f>
        <v>1340721</v>
      </c>
      <c r="C46" s="6"/>
      <c r="D46" s="310">
        <f>D43-D45</f>
        <v>1523591</v>
      </c>
      <c r="E46" s="6"/>
      <c r="F46" s="310">
        <f>F43-F45</f>
        <v>5522435</v>
      </c>
      <c r="G46" s="6"/>
      <c r="H46" s="6"/>
      <c r="J46" s="416" t="str">
        <f>CONCATENATE("",H1-1," Ad Valorem Tax Revenue:")</f>
        <v>2022 Ad Valorem Tax Revenue:</v>
      </c>
      <c r="K46" s="410"/>
      <c r="L46" s="410"/>
      <c r="M46" s="424">
        <f>ROUND(F49*M38/1000,0)</f>
        <v>279833</v>
      </c>
    </row>
    <row r="47" spans="1:13" ht="16.5" thickTop="1" x14ac:dyDescent="0.25">
      <c r="A47" s="9" t="s">
        <v>46</v>
      </c>
      <c r="B47" s="335">
        <f>inputPrYr!E81</f>
        <v>244504</v>
      </c>
      <c r="C47" s="112"/>
      <c r="D47" s="335">
        <f>inputPrYr!E33</f>
        <v>244504</v>
      </c>
      <c r="E47" s="112"/>
      <c r="F47" s="243" t="s">
        <v>10</v>
      </c>
      <c r="G47" s="6"/>
      <c r="H47" s="6"/>
      <c r="J47" s="421" t="s">
        <v>617</v>
      </c>
      <c r="K47" s="422"/>
      <c r="L47" s="422"/>
      <c r="M47" s="414">
        <f>SUM(M45-M46)</f>
        <v>-62723</v>
      </c>
    </row>
    <row r="48" spans="1:13" x14ac:dyDescent="0.25">
      <c r="A48" s="9" t="s">
        <v>47</v>
      </c>
      <c r="B48" s="336"/>
      <c r="C48" s="6"/>
      <c r="D48" s="336"/>
      <c r="E48" s="117"/>
      <c r="F48" s="97"/>
      <c r="G48" s="6"/>
      <c r="H48" s="6"/>
      <c r="J48" s="415"/>
      <c r="K48" s="415"/>
      <c r="L48" s="415"/>
      <c r="M48" s="423"/>
    </row>
    <row r="49" spans="1:13" x14ac:dyDescent="0.25">
      <c r="A49" s="9" t="s">
        <v>48</v>
      </c>
      <c r="B49" s="335">
        <f>inputPrYr!E82</f>
        <v>6416273</v>
      </c>
      <c r="C49" s="36"/>
      <c r="D49" s="335">
        <f>inputOth!E39</f>
        <v>6711947</v>
      </c>
      <c r="E49" s="36"/>
      <c r="F49" s="335">
        <f>inputOth!E7</f>
        <v>7356294</v>
      </c>
      <c r="G49" s="6"/>
      <c r="H49" s="6"/>
      <c r="J49" s="924" t="s">
        <v>618</v>
      </c>
      <c r="K49" s="927"/>
      <c r="L49" s="927"/>
      <c r="M49" s="928"/>
    </row>
    <row r="50" spans="1:13" x14ac:dyDescent="0.25">
      <c r="A50" s="9" t="s">
        <v>49</v>
      </c>
      <c r="B50" s="6"/>
      <c r="C50" s="6"/>
      <c r="D50" s="6"/>
      <c r="E50" s="6"/>
      <c r="F50" s="6"/>
      <c r="G50" s="6"/>
      <c r="H50" s="6"/>
      <c r="J50" s="416"/>
      <c r="K50" s="410"/>
      <c r="L50" s="410"/>
      <c r="M50" s="417"/>
    </row>
    <row r="51" spans="1:13" x14ac:dyDescent="0.25">
      <c r="A51" s="9" t="s">
        <v>50</v>
      </c>
      <c r="B51" s="244">
        <f>$H$1-3</f>
        <v>2020</v>
      </c>
      <c r="C51" s="6"/>
      <c r="D51" s="244">
        <f>$H$1-2</f>
        <v>2021</v>
      </c>
      <c r="E51" s="6"/>
      <c r="F51" s="244">
        <f>$H$1-1</f>
        <v>2022</v>
      </c>
      <c r="G51" s="6"/>
      <c r="H51" s="6"/>
      <c r="J51" s="769" t="s">
        <v>866</v>
      </c>
      <c r="K51" s="410"/>
      <c r="L51" s="410"/>
      <c r="M51" s="770">
        <f>H44</f>
        <v>34.689</v>
      </c>
    </row>
    <row r="52" spans="1:13" x14ac:dyDescent="0.25">
      <c r="A52" s="9" t="s">
        <v>51</v>
      </c>
      <c r="B52" s="129">
        <f>inputPrYr!D85</f>
        <v>1495000</v>
      </c>
      <c r="C52" s="6"/>
      <c r="D52" s="129">
        <f>inputPrYr!E85</f>
        <v>1430000</v>
      </c>
      <c r="E52" s="6"/>
      <c r="F52" s="129">
        <f>Debt!G20</f>
        <v>1365000</v>
      </c>
      <c r="G52" s="6"/>
      <c r="H52" s="6"/>
      <c r="J52" s="416" t="str">
        <f>CONCATENATE("Current ",H1," Estimated Mill Rate:")</f>
        <v>Current 2023 Estimated Mill Rate:</v>
      </c>
      <c r="K52" s="410"/>
      <c r="L52" s="410"/>
      <c r="M52" s="418">
        <f>H43</f>
        <v>29.513999999999999</v>
      </c>
    </row>
    <row r="53" spans="1:13" x14ac:dyDescent="0.25">
      <c r="A53" s="9" t="s">
        <v>52</v>
      </c>
      <c r="B53" s="129">
        <f>inputPrYr!D86</f>
        <v>0</v>
      </c>
      <c r="C53" s="6"/>
      <c r="D53" s="129">
        <f>inputPrYr!E86</f>
        <v>0</v>
      </c>
      <c r="E53" s="6"/>
      <c r="F53" s="129">
        <f>Debt!G32</f>
        <v>0</v>
      </c>
      <c r="G53" s="6"/>
      <c r="H53" s="6"/>
      <c r="J53" s="416" t="str">
        <f>CONCATENATE("Desired ",H1," Mill Rate:")</f>
        <v>Desired 2023 Mill Rate:</v>
      </c>
      <c r="K53" s="410"/>
      <c r="L53" s="410"/>
      <c r="M53" s="408">
        <v>0</v>
      </c>
    </row>
    <row r="54" spans="1:13" x14ac:dyDescent="0.25">
      <c r="A54" s="6" t="s">
        <v>70</v>
      </c>
      <c r="B54" s="129">
        <f>inputPrYr!D87</f>
        <v>0</v>
      </c>
      <c r="C54" s="6"/>
      <c r="D54" s="129">
        <f>inputPrYr!E87</f>
        <v>0</v>
      </c>
      <c r="E54" s="6"/>
      <c r="F54" s="129">
        <f>Debt!G42</f>
        <v>0</v>
      </c>
      <c r="G54" s="6"/>
      <c r="H54" s="6"/>
      <c r="J54" s="416" t="str">
        <f>CONCATENATE(H1, " Ad Valorem Tax")</f>
        <v>2023 Ad Valorem Tax</v>
      </c>
      <c r="K54" s="410"/>
      <c r="L54" s="410"/>
      <c r="M54" s="424">
        <f>ROUND(F49*M53/1000,0)</f>
        <v>0</v>
      </c>
    </row>
    <row r="55" spans="1:13" x14ac:dyDescent="0.25">
      <c r="A55" s="9" t="s">
        <v>106</v>
      </c>
      <c r="B55" s="129">
        <f>inputPrYr!D88</f>
        <v>0</v>
      </c>
      <c r="C55" s="6"/>
      <c r="D55" s="129">
        <f>inputPrYr!E88</f>
        <v>0</v>
      </c>
      <c r="E55" s="6"/>
      <c r="F55" s="129">
        <f>'LP Form'!G28</f>
        <v>0</v>
      </c>
      <c r="G55" s="6"/>
      <c r="H55" s="6"/>
      <c r="J55" s="421" t="str">
        <f>CONCATENATE("",H1," Tax Levy Fund Exp. Changed By:")</f>
        <v>2023 Tax Levy Fund Exp. Changed By:</v>
      </c>
      <c r="K55" s="422"/>
      <c r="L55" s="422"/>
      <c r="M55" s="414">
        <f>IF(M53=0,0,(M54-G43))</f>
        <v>0</v>
      </c>
    </row>
    <row r="56" spans="1:13" ht="16.5" customHeight="1" thickBot="1" x14ac:dyDescent="0.25">
      <c r="A56" s="9" t="s">
        <v>53</v>
      </c>
      <c r="B56" s="425">
        <f>SUM(B52:B55)</f>
        <v>1495000</v>
      </c>
      <c r="C56" s="6"/>
      <c r="D56" s="425">
        <f>SUM(D52:D55)</f>
        <v>1430000</v>
      </c>
      <c r="E56" s="6"/>
      <c r="F56" s="425">
        <f>SUM(F52:F55)</f>
        <v>1365000</v>
      </c>
      <c r="G56" s="6"/>
      <c r="H56" s="6"/>
    </row>
    <row r="57" spans="1:13" ht="16.5" customHeight="1" thickTop="1" x14ac:dyDescent="0.2">
      <c r="A57" s="9" t="s">
        <v>54</v>
      </c>
      <c r="B57" s="6"/>
      <c r="C57" s="6"/>
      <c r="D57" s="6"/>
      <c r="E57" s="6"/>
      <c r="F57" s="6"/>
      <c r="G57" s="6"/>
      <c r="H57" s="6"/>
      <c r="J57" s="936" t="s">
        <v>973</v>
      </c>
      <c r="K57" s="937"/>
      <c r="L57" s="937"/>
      <c r="M57" s="940" t="str">
        <f>IF(H43&gt;H44, "Yes", "No")</f>
        <v>No</v>
      </c>
    </row>
    <row r="58" spans="1:13" x14ac:dyDescent="0.2">
      <c r="A58" s="732" t="s">
        <v>972</v>
      </c>
      <c r="B58" s="6"/>
      <c r="C58" s="6"/>
      <c r="D58" s="6"/>
      <c r="E58" s="6"/>
      <c r="F58" s="6"/>
      <c r="G58" s="6"/>
      <c r="H58" s="6"/>
      <c r="J58" s="938"/>
      <c r="K58" s="939"/>
      <c r="L58" s="939"/>
      <c r="M58" s="941"/>
    </row>
    <row r="59" spans="1:13" x14ac:dyDescent="0.2">
      <c r="A59" s="6"/>
      <c r="B59" s="6"/>
      <c r="C59" s="6"/>
      <c r="D59" s="6"/>
      <c r="E59" s="6"/>
      <c r="F59" s="6"/>
      <c r="G59" s="6"/>
      <c r="H59" s="6"/>
      <c r="J59" s="900" t="str">
        <f>IF(M57="Yes", "Follow procedure prescirbed by KSA 79-2988 to exceed the Revenue Neutral Rate.", " ")</f>
        <v xml:space="preserve"> </v>
      </c>
      <c r="K59" s="900"/>
      <c r="L59" s="900"/>
      <c r="M59" s="900"/>
    </row>
    <row r="60" spans="1:13" x14ac:dyDescent="0.2">
      <c r="A60" s="931" t="str">
        <f>inputHearing!B28</f>
        <v>Audree Guzman</v>
      </c>
      <c r="B60" s="932"/>
      <c r="C60" s="6"/>
      <c r="D60" s="6"/>
      <c r="E60" s="6"/>
      <c r="F60" s="6"/>
      <c r="G60" s="6"/>
      <c r="H60" s="6"/>
      <c r="J60" s="901"/>
      <c r="K60" s="901"/>
      <c r="L60" s="901"/>
      <c r="M60" s="901"/>
    </row>
    <row r="61" spans="1:13" x14ac:dyDescent="0.2">
      <c r="A61" s="108" t="s">
        <v>520</v>
      </c>
      <c r="B61" s="542" t="str">
        <f>inputHearing!B30</f>
        <v>City Administrator</v>
      </c>
      <c r="C61" s="315"/>
      <c r="D61" s="6"/>
      <c r="E61" s="6"/>
      <c r="F61" s="6"/>
      <c r="G61" s="6"/>
      <c r="H61" s="6"/>
      <c r="J61" s="901"/>
      <c r="K61" s="901"/>
      <c r="L61" s="901"/>
      <c r="M61" s="901"/>
    </row>
    <row r="62" spans="1:13" x14ac:dyDescent="0.2">
      <c r="A62" s="6"/>
      <c r="B62" s="6"/>
      <c r="C62" s="6"/>
      <c r="D62" s="6"/>
      <c r="E62" s="6"/>
      <c r="F62" s="6"/>
      <c r="G62" s="6"/>
      <c r="H62" s="6"/>
    </row>
    <row r="63" spans="1:13" x14ac:dyDescent="0.2">
      <c r="A63" s="6"/>
      <c r="B63" s="6"/>
      <c r="C63" s="83" t="s">
        <v>29</v>
      </c>
      <c r="D63" s="600">
        <v>24</v>
      </c>
      <c r="E63" s="6"/>
      <c r="F63" s="6"/>
      <c r="G63" s="6"/>
      <c r="H63" s="6"/>
    </row>
  </sheetData>
  <mergeCells count="22">
    <mergeCell ref="A8:H8"/>
    <mergeCell ref="A2:H2"/>
    <mergeCell ref="A4:H4"/>
    <mergeCell ref="A5:H5"/>
    <mergeCell ref="A6:H6"/>
    <mergeCell ref="A7:H7"/>
    <mergeCell ref="J57:L58"/>
    <mergeCell ref="M57:M58"/>
    <mergeCell ref="J59:M61"/>
    <mergeCell ref="A60:B60"/>
    <mergeCell ref="H14:H15"/>
    <mergeCell ref="J32:M32"/>
    <mergeCell ref="J36:M36"/>
    <mergeCell ref="J43:M43"/>
    <mergeCell ref="A44:G44"/>
    <mergeCell ref="J49:M49"/>
    <mergeCell ref="B14:B15"/>
    <mergeCell ref="C14:C15"/>
    <mergeCell ref="D14:D15"/>
    <mergeCell ref="E14:E15"/>
    <mergeCell ref="F14:F15"/>
    <mergeCell ref="G14:G15"/>
  </mergeCells>
  <conditionalFormatting sqref="M57:M58">
    <cfRule type="containsText" dxfId="0" priority="1" operator="containsText" text="Yes">
      <formula>NOT(ISERROR(SEARCH("Yes",M57)))</formula>
    </cfRule>
  </conditionalFormatting>
  <pageMargins left="0.5" right="0.5" top="1" bottom="0.5" header="0.5" footer="0.5"/>
  <pageSetup scale="68" orientation="portrait" blackAndWhite="1" horizontalDpi="120" verticalDpi="144" r:id="rId1"/>
  <headerFooter alignWithMargins="0">
    <oddHeader xml:space="preserve">&amp;RState of Kansas
City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726C-5357-47C1-8716-DDAC7A8D1081}">
  <sheetPr>
    <tabColor rgb="FF00B0F0"/>
    <pageSetUpPr fitToPage="1"/>
  </sheetPr>
  <dimension ref="A1:H37"/>
  <sheetViews>
    <sheetView workbookViewId="0">
      <selection activeCell="O6" sqref="O6"/>
    </sheetView>
  </sheetViews>
  <sheetFormatPr defaultRowHeight="15.75" x14ac:dyDescent="0.2"/>
  <cols>
    <col min="1" max="1" width="14.109375" style="2" customWidth="1"/>
    <col min="2" max="2" width="12.77734375" style="2" customWidth="1"/>
    <col min="3" max="3" width="8.77734375" style="2" customWidth="1"/>
    <col min="4" max="4" width="7.33203125" style="2" customWidth="1"/>
    <col min="5" max="5" width="8.5546875" style="2" customWidth="1"/>
    <col min="6" max="6" width="12.77734375" style="2" customWidth="1"/>
    <col min="7" max="7" width="11.88671875" style="2" customWidth="1"/>
    <col min="8" max="8" width="14.109375" style="2" customWidth="1"/>
    <col min="9" max="252" width="8.88671875" style="2"/>
    <col min="253" max="253" width="15.77734375" style="2" customWidth="1"/>
    <col min="254" max="254" width="12.77734375" style="2" customWidth="1"/>
    <col min="255" max="255" width="8.77734375" style="2" customWidth="1"/>
    <col min="256" max="256" width="13.77734375" style="2" customWidth="1"/>
    <col min="257" max="257" width="8.77734375" style="2" customWidth="1"/>
    <col min="258" max="258" width="12.77734375" style="2" customWidth="1"/>
    <col min="259" max="259" width="10.77734375" style="2" customWidth="1"/>
    <col min="260" max="260" width="8.77734375" style="2" customWidth="1"/>
    <col min="261" max="261" width="8.88671875" style="2"/>
    <col min="262" max="262" width="12.44140625" style="2" customWidth="1"/>
    <col min="263" max="263" width="12.33203125" style="2" customWidth="1"/>
    <col min="264" max="264" width="8.88671875" style="2"/>
    <col min="265" max="265" width="12.109375" style="2" customWidth="1"/>
    <col min="266" max="508" width="8.88671875" style="2"/>
    <col min="509" max="509" width="15.77734375" style="2" customWidth="1"/>
    <col min="510" max="510" width="12.77734375" style="2" customWidth="1"/>
    <col min="511" max="511" width="8.77734375" style="2" customWidth="1"/>
    <col min="512" max="512" width="13.77734375" style="2" customWidth="1"/>
    <col min="513" max="513" width="8.77734375" style="2" customWidth="1"/>
    <col min="514" max="514" width="12.77734375" style="2" customWidth="1"/>
    <col min="515" max="515" width="10.77734375" style="2" customWidth="1"/>
    <col min="516" max="516" width="8.77734375" style="2" customWidth="1"/>
    <col min="517" max="517" width="8.88671875" style="2"/>
    <col min="518" max="518" width="12.44140625" style="2" customWidth="1"/>
    <col min="519" max="519" width="12.33203125" style="2" customWidth="1"/>
    <col min="520" max="520" width="8.88671875" style="2"/>
    <col min="521" max="521" width="12.109375" style="2" customWidth="1"/>
    <col min="522" max="764" width="8.88671875" style="2"/>
    <col min="765" max="765" width="15.77734375" style="2" customWidth="1"/>
    <col min="766" max="766" width="12.77734375" style="2" customWidth="1"/>
    <col min="767" max="767" width="8.77734375" style="2" customWidth="1"/>
    <col min="768" max="768" width="13.77734375" style="2" customWidth="1"/>
    <col min="769" max="769" width="8.77734375" style="2" customWidth="1"/>
    <col min="770" max="770" width="12.77734375" style="2" customWidth="1"/>
    <col min="771" max="771" width="10.77734375" style="2" customWidth="1"/>
    <col min="772" max="772" width="8.77734375" style="2" customWidth="1"/>
    <col min="773" max="773" width="8.88671875" style="2"/>
    <col min="774" max="774" width="12.44140625" style="2" customWidth="1"/>
    <col min="775" max="775" width="12.33203125" style="2" customWidth="1"/>
    <col min="776" max="776" width="8.88671875" style="2"/>
    <col min="777" max="777" width="12.109375" style="2" customWidth="1"/>
    <col min="778" max="1020" width="8.88671875" style="2"/>
    <col min="1021" max="1021" width="15.77734375" style="2" customWidth="1"/>
    <col min="1022" max="1022" width="12.77734375" style="2" customWidth="1"/>
    <col min="1023" max="1023" width="8.77734375" style="2" customWidth="1"/>
    <col min="1024" max="1024" width="13.77734375" style="2" customWidth="1"/>
    <col min="1025" max="1025" width="8.77734375" style="2" customWidth="1"/>
    <col min="1026" max="1026" width="12.77734375" style="2" customWidth="1"/>
    <col min="1027" max="1027" width="10.77734375" style="2" customWidth="1"/>
    <col min="1028" max="1028" width="8.77734375" style="2" customWidth="1"/>
    <col min="1029" max="1029" width="8.88671875" style="2"/>
    <col min="1030" max="1030" width="12.44140625" style="2" customWidth="1"/>
    <col min="1031" max="1031" width="12.33203125" style="2" customWidth="1"/>
    <col min="1032" max="1032" width="8.88671875" style="2"/>
    <col min="1033" max="1033" width="12.109375" style="2" customWidth="1"/>
    <col min="1034" max="1276" width="8.88671875" style="2"/>
    <col min="1277" max="1277" width="15.77734375" style="2" customWidth="1"/>
    <col min="1278" max="1278" width="12.77734375" style="2" customWidth="1"/>
    <col min="1279" max="1279" width="8.77734375" style="2" customWidth="1"/>
    <col min="1280" max="1280" width="13.77734375" style="2" customWidth="1"/>
    <col min="1281" max="1281" width="8.77734375" style="2" customWidth="1"/>
    <col min="1282" max="1282" width="12.77734375" style="2" customWidth="1"/>
    <col min="1283" max="1283" width="10.77734375" style="2" customWidth="1"/>
    <col min="1284" max="1284" width="8.77734375" style="2" customWidth="1"/>
    <col min="1285" max="1285" width="8.88671875" style="2"/>
    <col min="1286" max="1286" width="12.44140625" style="2" customWidth="1"/>
    <col min="1287" max="1287" width="12.33203125" style="2" customWidth="1"/>
    <col min="1288" max="1288" width="8.88671875" style="2"/>
    <col min="1289" max="1289" width="12.109375" style="2" customWidth="1"/>
    <col min="1290" max="1532" width="8.88671875" style="2"/>
    <col min="1533" max="1533" width="15.77734375" style="2" customWidth="1"/>
    <col min="1534" max="1534" width="12.77734375" style="2" customWidth="1"/>
    <col min="1535" max="1535" width="8.77734375" style="2" customWidth="1"/>
    <col min="1536" max="1536" width="13.77734375" style="2" customWidth="1"/>
    <col min="1537" max="1537" width="8.77734375" style="2" customWidth="1"/>
    <col min="1538" max="1538" width="12.77734375" style="2" customWidth="1"/>
    <col min="1539" max="1539" width="10.77734375" style="2" customWidth="1"/>
    <col min="1540" max="1540" width="8.77734375" style="2" customWidth="1"/>
    <col min="1541" max="1541" width="8.88671875" style="2"/>
    <col min="1542" max="1542" width="12.44140625" style="2" customWidth="1"/>
    <col min="1543" max="1543" width="12.33203125" style="2" customWidth="1"/>
    <col min="1544" max="1544" width="8.88671875" style="2"/>
    <col min="1545" max="1545" width="12.109375" style="2" customWidth="1"/>
    <col min="1546" max="1788" width="8.88671875" style="2"/>
    <col min="1789" max="1789" width="15.77734375" style="2" customWidth="1"/>
    <col min="1790" max="1790" width="12.77734375" style="2" customWidth="1"/>
    <col min="1791" max="1791" width="8.77734375" style="2" customWidth="1"/>
    <col min="1792" max="1792" width="13.77734375" style="2" customWidth="1"/>
    <col min="1793" max="1793" width="8.77734375" style="2" customWidth="1"/>
    <col min="1794" max="1794" width="12.77734375" style="2" customWidth="1"/>
    <col min="1795" max="1795" width="10.77734375" style="2" customWidth="1"/>
    <col min="1796" max="1796" width="8.77734375" style="2" customWidth="1"/>
    <col min="1797" max="1797" width="8.88671875" style="2"/>
    <col min="1798" max="1798" width="12.44140625" style="2" customWidth="1"/>
    <col min="1799" max="1799" width="12.33203125" style="2" customWidth="1"/>
    <col min="1800" max="1800" width="8.88671875" style="2"/>
    <col min="1801" max="1801" width="12.109375" style="2" customWidth="1"/>
    <col min="1802" max="2044" width="8.88671875" style="2"/>
    <col min="2045" max="2045" width="15.77734375" style="2" customWidth="1"/>
    <col min="2046" max="2046" width="12.77734375" style="2" customWidth="1"/>
    <col min="2047" max="2047" width="8.77734375" style="2" customWidth="1"/>
    <col min="2048" max="2048" width="13.77734375" style="2" customWidth="1"/>
    <col min="2049" max="2049" width="8.77734375" style="2" customWidth="1"/>
    <col min="2050" max="2050" width="12.77734375" style="2" customWidth="1"/>
    <col min="2051" max="2051" width="10.77734375" style="2" customWidth="1"/>
    <col min="2052" max="2052" width="8.77734375" style="2" customWidth="1"/>
    <col min="2053" max="2053" width="8.88671875" style="2"/>
    <col min="2054" max="2054" width="12.44140625" style="2" customWidth="1"/>
    <col min="2055" max="2055" width="12.33203125" style="2" customWidth="1"/>
    <col min="2056" max="2056" width="8.88671875" style="2"/>
    <col min="2057" max="2057" width="12.109375" style="2" customWidth="1"/>
    <col min="2058" max="2300" width="8.88671875" style="2"/>
    <col min="2301" max="2301" width="15.77734375" style="2" customWidth="1"/>
    <col min="2302" max="2302" width="12.77734375" style="2" customWidth="1"/>
    <col min="2303" max="2303" width="8.77734375" style="2" customWidth="1"/>
    <col min="2304" max="2304" width="13.77734375" style="2" customWidth="1"/>
    <col min="2305" max="2305" width="8.77734375" style="2" customWidth="1"/>
    <col min="2306" max="2306" width="12.77734375" style="2" customWidth="1"/>
    <col min="2307" max="2307" width="10.77734375" style="2" customWidth="1"/>
    <col min="2308" max="2308" width="8.77734375" style="2" customWidth="1"/>
    <col min="2309" max="2309" width="8.88671875" style="2"/>
    <col min="2310" max="2310" width="12.44140625" style="2" customWidth="1"/>
    <col min="2311" max="2311" width="12.33203125" style="2" customWidth="1"/>
    <col min="2312" max="2312" width="8.88671875" style="2"/>
    <col min="2313" max="2313" width="12.109375" style="2" customWidth="1"/>
    <col min="2314" max="2556" width="8.88671875" style="2"/>
    <col min="2557" max="2557" width="15.77734375" style="2" customWidth="1"/>
    <col min="2558" max="2558" width="12.77734375" style="2" customWidth="1"/>
    <col min="2559" max="2559" width="8.77734375" style="2" customWidth="1"/>
    <col min="2560" max="2560" width="13.77734375" style="2" customWidth="1"/>
    <col min="2561" max="2561" width="8.77734375" style="2" customWidth="1"/>
    <col min="2562" max="2562" width="12.77734375" style="2" customWidth="1"/>
    <col min="2563" max="2563" width="10.77734375" style="2" customWidth="1"/>
    <col min="2564" max="2564" width="8.77734375" style="2" customWidth="1"/>
    <col min="2565" max="2565" width="8.88671875" style="2"/>
    <col min="2566" max="2566" width="12.44140625" style="2" customWidth="1"/>
    <col min="2567" max="2567" width="12.33203125" style="2" customWidth="1"/>
    <col min="2568" max="2568" width="8.88671875" style="2"/>
    <col min="2569" max="2569" width="12.109375" style="2" customWidth="1"/>
    <col min="2570" max="2812" width="8.88671875" style="2"/>
    <col min="2813" max="2813" width="15.77734375" style="2" customWidth="1"/>
    <col min="2814" max="2814" width="12.77734375" style="2" customWidth="1"/>
    <col min="2815" max="2815" width="8.77734375" style="2" customWidth="1"/>
    <col min="2816" max="2816" width="13.77734375" style="2" customWidth="1"/>
    <col min="2817" max="2817" width="8.77734375" style="2" customWidth="1"/>
    <col min="2818" max="2818" width="12.77734375" style="2" customWidth="1"/>
    <col min="2819" max="2819" width="10.77734375" style="2" customWidth="1"/>
    <col min="2820" max="2820" width="8.77734375" style="2" customWidth="1"/>
    <col min="2821" max="2821" width="8.88671875" style="2"/>
    <col min="2822" max="2822" width="12.44140625" style="2" customWidth="1"/>
    <col min="2823" max="2823" width="12.33203125" style="2" customWidth="1"/>
    <col min="2824" max="2824" width="8.88671875" style="2"/>
    <col min="2825" max="2825" width="12.109375" style="2" customWidth="1"/>
    <col min="2826" max="3068" width="8.88671875" style="2"/>
    <col min="3069" max="3069" width="15.77734375" style="2" customWidth="1"/>
    <col min="3070" max="3070" width="12.77734375" style="2" customWidth="1"/>
    <col min="3071" max="3071" width="8.77734375" style="2" customWidth="1"/>
    <col min="3072" max="3072" width="13.77734375" style="2" customWidth="1"/>
    <col min="3073" max="3073" width="8.77734375" style="2" customWidth="1"/>
    <col min="3074" max="3074" width="12.77734375" style="2" customWidth="1"/>
    <col min="3075" max="3075" width="10.77734375" style="2" customWidth="1"/>
    <col min="3076" max="3076" width="8.77734375" style="2" customWidth="1"/>
    <col min="3077" max="3077" width="8.88671875" style="2"/>
    <col min="3078" max="3078" width="12.44140625" style="2" customWidth="1"/>
    <col min="3079" max="3079" width="12.33203125" style="2" customWidth="1"/>
    <col min="3080" max="3080" width="8.88671875" style="2"/>
    <col min="3081" max="3081" width="12.109375" style="2" customWidth="1"/>
    <col min="3082" max="3324" width="8.88671875" style="2"/>
    <col min="3325" max="3325" width="15.77734375" style="2" customWidth="1"/>
    <col min="3326" max="3326" width="12.77734375" style="2" customWidth="1"/>
    <col min="3327" max="3327" width="8.77734375" style="2" customWidth="1"/>
    <col min="3328" max="3328" width="13.77734375" style="2" customWidth="1"/>
    <col min="3329" max="3329" width="8.77734375" style="2" customWidth="1"/>
    <col min="3330" max="3330" width="12.77734375" style="2" customWidth="1"/>
    <col min="3331" max="3331" width="10.77734375" style="2" customWidth="1"/>
    <col min="3332" max="3332" width="8.77734375" style="2" customWidth="1"/>
    <col min="3333" max="3333" width="8.88671875" style="2"/>
    <col min="3334" max="3334" width="12.44140625" style="2" customWidth="1"/>
    <col min="3335" max="3335" width="12.33203125" style="2" customWidth="1"/>
    <col min="3336" max="3336" width="8.88671875" style="2"/>
    <col min="3337" max="3337" width="12.109375" style="2" customWidth="1"/>
    <col min="3338" max="3580" width="8.88671875" style="2"/>
    <col min="3581" max="3581" width="15.77734375" style="2" customWidth="1"/>
    <col min="3582" max="3582" width="12.77734375" style="2" customWidth="1"/>
    <col min="3583" max="3583" width="8.77734375" style="2" customWidth="1"/>
    <col min="3584" max="3584" width="13.77734375" style="2" customWidth="1"/>
    <col min="3585" max="3585" width="8.77734375" style="2" customWidth="1"/>
    <col min="3586" max="3586" width="12.77734375" style="2" customWidth="1"/>
    <col min="3587" max="3587" width="10.77734375" style="2" customWidth="1"/>
    <col min="3588" max="3588" width="8.77734375" style="2" customWidth="1"/>
    <col min="3589" max="3589" width="8.88671875" style="2"/>
    <col min="3590" max="3590" width="12.44140625" style="2" customWidth="1"/>
    <col min="3591" max="3591" width="12.33203125" style="2" customWidth="1"/>
    <col min="3592" max="3592" width="8.88671875" style="2"/>
    <col min="3593" max="3593" width="12.109375" style="2" customWidth="1"/>
    <col min="3594" max="3836" width="8.88671875" style="2"/>
    <col min="3837" max="3837" width="15.77734375" style="2" customWidth="1"/>
    <col min="3838" max="3838" width="12.77734375" style="2" customWidth="1"/>
    <col min="3839" max="3839" width="8.77734375" style="2" customWidth="1"/>
    <col min="3840" max="3840" width="13.77734375" style="2" customWidth="1"/>
    <col min="3841" max="3841" width="8.77734375" style="2" customWidth="1"/>
    <col min="3842" max="3842" width="12.77734375" style="2" customWidth="1"/>
    <col min="3843" max="3843" width="10.77734375" style="2" customWidth="1"/>
    <col min="3844" max="3844" width="8.77734375" style="2" customWidth="1"/>
    <col min="3845" max="3845" width="8.88671875" style="2"/>
    <col min="3846" max="3846" width="12.44140625" style="2" customWidth="1"/>
    <col min="3847" max="3847" width="12.33203125" style="2" customWidth="1"/>
    <col min="3848" max="3848" width="8.88671875" style="2"/>
    <col min="3849" max="3849" width="12.109375" style="2" customWidth="1"/>
    <col min="3850" max="4092" width="8.88671875" style="2"/>
    <col min="4093" max="4093" width="15.77734375" style="2" customWidth="1"/>
    <col min="4094" max="4094" width="12.77734375" style="2" customWidth="1"/>
    <col min="4095" max="4095" width="8.77734375" style="2" customWidth="1"/>
    <col min="4096" max="4096" width="13.77734375" style="2" customWidth="1"/>
    <col min="4097" max="4097" width="8.77734375" style="2" customWidth="1"/>
    <col min="4098" max="4098" width="12.77734375" style="2" customWidth="1"/>
    <col min="4099" max="4099" width="10.77734375" style="2" customWidth="1"/>
    <col min="4100" max="4100" width="8.77734375" style="2" customWidth="1"/>
    <col min="4101" max="4101" width="8.88671875" style="2"/>
    <col min="4102" max="4102" width="12.44140625" style="2" customWidth="1"/>
    <col min="4103" max="4103" width="12.33203125" style="2" customWidth="1"/>
    <col min="4104" max="4104" width="8.88671875" style="2"/>
    <col min="4105" max="4105" width="12.109375" style="2" customWidth="1"/>
    <col min="4106" max="4348" width="8.88671875" style="2"/>
    <col min="4349" max="4349" width="15.77734375" style="2" customWidth="1"/>
    <col min="4350" max="4350" width="12.77734375" style="2" customWidth="1"/>
    <col min="4351" max="4351" width="8.77734375" style="2" customWidth="1"/>
    <col min="4352" max="4352" width="13.77734375" style="2" customWidth="1"/>
    <col min="4353" max="4353" width="8.77734375" style="2" customWidth="1"/>
    <col min="4354" max="4354" width="12.77734375" style="2" customWidth="1"/>
    <col min="4355" max="4355" width="10.77734375" style="2" customWidth="1"/>
    <col min="4356" max="4356" width="8.77734375" style="2" customWidth="1"/>
    <col min="4357" max="4357" width="8.88671875" style="2"/>
    <col min="4358" max="4358" width="12.44140625" style="2" customWidth="1"/>
    <col min="4359" max="4359" width="12.33203125" style="2" customWidth="1"/>
    <col min="4360" max="4360" width="8.88671875" style="2"/>
    <col min="4361" max="4361" width="12.109375" style="2" customWidth="1"/>
    <col min="4362" max="4604" width="8.88671875" style="2"/>
    <col min="4605" max="4605" width="15.77734375" style="2" customWidth="1"/>
    <col min="4606" max="4606" width="12.77734375" style="2" customWidth="1"/>
    <col min="4607" max="4607" width="8.77734375" style="2" customWidth="1"/>
    <col min="4608" max="4608" width="13.77734375" style="2" customWidth="1"/>
    <col min="4609" max="4609" width="8.77734375" style="2" customWidth="1"/>
    <col min="4610" max="4610" width="12.77734375" style="2" customWidth="1"/>
    <col min="4611" max="4611" width="10.77734375" style="2" customWidth="1"/>
    <col min="4612" max="4612" width="8.77734375" style="2" customWidth="1"/>
    <col min="4613" max="4613" width="8.88671875" style="2"/>
    <col min="4614" max="4614" width="12.44140625" style="2" customWidth="1"/>
    <col min="4615" max="4615" width="12.33203125" style="2" customWidth="1"/>
    <col min="4616" max="4616" width="8.88671875" style="2"/>
    <col min="4617" max="4617" width="12.109375" style="2" customWidth="1"/>
    <col min="4618" max="4860" width="8.88671875" style="2"/>
    <col min="4861" max="4861" width="15.77734375" style="2" customWidth="1"/>
    <col min="4862" max="4862" width="12.77734375" style="2" customWidth="1"/>
    <col min="4863" max="4863" width="8.77734375" style="2" customWidth="1"/>
    <col min="4864" max="4864" width="13.77734375" style="2" customWidth="1"/>
    <col min="4865" max="4865" width="8.77734375" style="2" customWidth="1"/>
    <col min="4866" max="4866" width="12.77734375" style="2" customWidth="1"/>
    <col min="4867" max="4867" width="10.77734375" style="2" customWidth="1"/>
    <col min="4868" max="4868" width="8.77734375" style="2" customWidth="1"/>
    <col min="4869" max="4869" width="8.88671875" style="2"/>
    <col min="4870" max="4870" width="12.44140625" style="2" customWidth="1"/>
    <col min="4871" max="4871" width="12.33203125" style="2" customWidth="1"/>
    <col min="4872" max="4872" width="8.88671875" style="2"/>
    <col min="4873" max="4873" width="12.109375" style="2" customWidth="1"/>
    <col min="4874" max="5116" width="8.88671875" style="2"/>
    <col min="5117" max="5117" width="15.77734375" style="2" customWidth="1"/>
    <col min="5118" max="5118" width="12.77734375" style="2" customWidth="1"/>
    <col min="5119" max="5119" width="8.77734375" style="2" customWidth="1"/>
    <col min="5120" max="5120" width="13.77734375" style="2" customWidth="1"/>
    <col min="5121" max="5121" width="8.77734375" style="2" customWidth="1"/>
    <col min="5122" max="5122" width="12.77734375" style="2" customWidth="1"/>
    <col min="5123" max="5123" width="10.77734375" style="2" customWidth="1"/>
    <col min="5124" max="5124" width="8.77734375" style="2" customWidth="1"/>
    <col min="5125" max="5125" width="8.88671875" style="2"/>
    <col min="5126" max="5126" width="12.44140625" style="2" customWidth="1"/>
    <col min="5127" max="5127" width="12.33203125" style="2" customWidth="1"/>
    <col min="5128" max="5128" width="8.88671875" style="2"/>
    <col min="5129" max="5129" width="12.109375" style="2" customWidth="1"/>
    <col min="5130" max="5372" width="8.88671875" style="2"/>
    <col min="5373" max="5373" width="15.77734375" style="2" customWidth="1"/>
    <col min="5374" max="5374" width="12.77734375" style="2" customWidth="1"/>
    <col min="5375" max="5375" width="8.77734375" style="2" customWidth="1"/>
    <col min="5376" max="5376" width="13.77734375" style="2" customWidth="1"/>
    <col min="5377" max="5377" width="8.77734375" style="2" customWidth="1"/>
    <col min="5378" max="5378" width="12.77734375" style="2" customWidth="1"/>
    <col min="5379" max="5379" width="10.77734375" style="2" customWidth="1"/>
    <col min="5380" max="5380" width="8.77734375" style="2" customWidth="1"/>
    <col min="5381" max="5381" width="8.88671875" style="2"/>
    <col min="5382" max="5382" width="12.44140625" style="2" customWidth="1"/>
    <col min="5383" max="5383" width="12.33203125" style="2" customWidth="1"/>
    <col min="5384" max="5384" width="8.88671875" style="2"/>
    <col min="5385" max="5385" width="12.109375" style="2" customWidth="1"/>
    <col min="5386" max="5628" width="8.88671875" style="2"/>
    <col min="5629" max="5629" width="15.77734375" style="2" customWidth="1"/>
    <col min="5630" max="5630" width="12.77734375" style="2" customWidth="1"/>
    <col min="5631" max="5631" width="8.77734375" style="2" customWidth="1"/>
    <col min="5632" max="5632" width="13.77734375" style="2" customWidth="1"/>
    <col min="5633" max="5633" width="8.77734375" style="2" customWidth="1"/>
    <col min="5634" max="5634" width="12.77734375" style="2" customWidth="1"/>
    <col min="5635" max="5635" width="10.77734375" style="2" customWidth="1"/>
    <col min="5636" max="5636" width="8.77734375" style="2" customWidth="1"/>
    <col min="5637" max="5637" width="8.88671875" style="2"/>
    <col min="5638" max="5638" width="12.44140625" style="2" customWidth="1"/>
    <col min="5639" max="5639" width="12.33203125" style="2" customWidth="1"/>
    <col min="5640" max="5640" width="8.88671875" style="2"/>
    <col min="5641" max="5641" width="12.109375" style="2" customWidth="1"/>
    <col min="5642" max="5884" width="8.88671875" style="2"/>
    <col min="5885" max="5885" width="15.77734375" style="2" customWidth="1"/>
    <col min="5886" max="5886" width="12.77734375" style="2" customWidth="1"/>
    <col min="5887" max="5887" width="8.77734375" style="2" customWidth="1"/>
    <col min="5888" max="5888" width="13.77734375" style="2" customWidth="1"/>
    <col min="5889" max="5889" width="8.77734375" style="2" customWidth="1"/>
    <col min="5890" max="5890" width="12.77734375" style="2" customWidth="1"/>
    <col min="5891" max="5891" width="10.77734375" style="2" customWidth="1"/>
    <col min="5892" max="5892" width="8.77734375" style="2" customWidth="1"/>
    <col min="5893" max="5893" width="8.88671875" style="2"/>
    <col min="5894" max="5894" width="12.44140625" style="2" customWidth="1"/>
    <col min="5895" max="5895" width="12.33203125" style="2" customWidth="1"/>
    <col min="5896" max="5896" width="8.88671875" style="2"/>
    <col min="5897" max="5897" width="12.109375" style="2" customWidth="1"/>
    <col min="5898" max="6140" width="8.88671875" style="2"/>
    <col min="6141" max="6141" width="15.77734375" style="2" customWidth="1"/>
    <col min="6142" max="6142" width="12.77734375" style="2" customWidth="1"/>
    <col min="6143" max="6143" width="8.77734375" style="2" customWidth="1"/>
    <col min="6144" max="6144" width="13.77734375" style="2" customWidth="1"/>
    <col min="6145" max="6145" width="8.77734375" style="2" customWidth="1"/>
    <col min="6146" max="6146" width="12.77734375" style="2" customWidth="1"/>
    <col min="6147" max="6147" width="10.77734375" style="2" customWidth="1"/>
    <col min="6148" max="6148" width="8.77734375" style="2" customWidth="1"/>
    <col min="6149" max="6149" width="8.88671875" style="2"/>
    <col min="6150" max="6150" width="12.44140625" style="2" customWidth="1"/>
    <col min="6151" max="6151" width="12.33203125" style="2" customWidth="1"/>
    <col min="6152" max="6152" width="8.88671875" style="2"/>
    <col min="6153" max="6153" width="12.109375" style="2" customWidth="1"/>
    <col min="6154" max="6396" width="8.88671875" style="2"/>
    <col min="6397" max="6397" width="15.77734375" style="2" customWidth="1"/>
    <col min="6398" max="6398" width="12.77734375" style="2" customWidth="1"/>
    <col min="6399" max="6399" width="8.77734375" style="2" customWidth="1"/>
    <col min="6400" max="6400" width="13.77734375" style="2" customWidth="1"/>
    <col min="6401" max="6401" width="8.77734375" style="2" customWidth="1"/>
    <col min="6402" max="6402" width="12.77734375" style="2" customWidth="1"/>
    <col min="6403" max="6403" width="10.77734375" style="2" customWidth="1"/>
    <col min="6404" max="6404" width="8.77734375" style="2" customWidth="1"/>
    <col min="6405" max="6405" width="8.88671875" style="2"/>
    <col min="6406" max="6406" width="12.44140625" style="2" customWidth="1"/>
    <col min="6407" max="6407" width="12.33203125" style="2" customWidth="1"/>
    <col min="6408" max="6408" width="8.88671875" style="2"/>
    <col min="6409" max="6409" width="12.109375" style="2" customWidth="1"/>
    <col min="6410" max="6652" width="8.88671875" style="2"/>
    <col min="6653" max="6653" width="15.77734375" style="2" customWidth="1"/>
    <col min="6654" max="6654" width="12.77734375" style="2" customWidth="1"/>
    <col min="6655" max="6655" width="8.77734375" style="2" customWidth="1"/>
    <col min="6656" max="6656" width="13.77734375" style="2" customWidth="1"/>
    <col min="6657" max="6657" width="8.77734375" style="2" customWidth="1"/>
    <col min="6658" max="6658" width="12.77734375" style="2" customWidth="1"/>
    <col min="6659" max="6659" width="10.77734375" style="2" customWidth="1"/>
    <col min="6660" max="6660" width="8.77734375" style="2" customWidth="1"/>
    <col min="6661" max="6661" width="8.88671875" style="2"/>
    <col min="6662" max="6662" width="12.44140625" style="2" customWidth="1"/>
    <col min="6663" max="6663" width="12.33203125" style="2" customWidth="1"/>
    <col min="6664" max="6664" width="8.88671875" style="2"/>
    <col min="6665" max="6665" width="12.109375" style="2" customWidth="1"/>
    <col min="6666" max="6908" width="8.88671875" style="2"/>
    <col min="6909" max="6909" width="15.77734375" style="2" customWidth="1"/>
    <col min="6910" max="6910" width="12.77734375" style="2" customWidth="1"/>
    <col min="6911" max="6911" width="8.77734375" style="2" customWidth="1"/>
    <col min="6912" max="6912" width="13.77734375" style="2" customWidth="1"/>
    <col min="6913" max="6913" width="8.77734375" style="2" customWidth="1"/>
    <col min="6914" max="6914" width="12.77734375" style="2" customWidth="1"/>
    <col min="6915" max="6915" width="10.77734375" style="2" customWidth="1"/>
    <col min="6916" max="6916" width="8.77734375" style="2" customWidth="1"/>
    <col min="6917" max="6917" width="8.88671875" style="2"/>
    <col min="6918" max="6918" width="12.44140625" style="2" customWidth="1"/>
    <col min="6919" max="6919" width="12.33203125" style="2" customWidth="1"/>
    <col min="6920" max="6920" width="8.88671875" style="2"/>
    <col min="6921" max="6921" width="12.109375" style="2" customWidth="1"/>
    <col min="6922" max="7164" width="8.88671875" style="2"/>
    <col min="7165" max="7165" width="15.77734375" style="2" customWidth="1"/>
    <col min="7166" max="7166" width="12.77734375" style="2" customWidth="1"/>
    <col min="7167" max="7167" width="8.77734375" style="2" customWidth="1"/>
    <col min="7168" max="7168" width="13.77734375" style="2" customWidth="1"/>
    <col min="7169" max="7169" width="8.77734375" style="2" customWidth="1"/>
    <col min="7170" max="7170" width="12.77734375" style="2" customWidth="1"/>
    <col min="7171" max="7171" width="10.77734375" style="2" customWidth="1"/>
    <col min="7172" max="7172" width="8.77734375" style="2" customWidth="1"/>
    <col min="7173" max="7173" width="8.88671875" style="2"/>
    <col min="7174" max="7174" width="12.44140625" style="2" customWidth="1"/>
    <col min="7175" max="7175" width="12.33203125" style="2" customWidth="1"/>
    <col min="7176" max="7176" width="8.88671875" style="2"/>
    <col min="7177" max="7177" width="12.109375" style="2" customWidth="1"/>
    <col min="7178" max="7420" width="8.88671875" style="2"/>
    <col min="7421" max="7421" width="15.77734375" style="2" customWidth="1"/>
    <col min="7422" max="7422" width="12.77734375" style="2" customWidth="1"/>
    <col min="7423" max="7423" width="8.77734375" style="2" customWidth="1"/>
    <col min="7424" max="7424" width="13.77734375" style="2" customWidth="1"/>
    <col min="7425" max="7425" width="8.77734375" style="2" customWidth="1"/>
    <col min="7426" max="7426" width="12.77734375" style="2" customWidth="1"/>
    <col min="7427" max="7427" width="10.77734375" style="2" customWidth="1"/>
    <col min="7428" max="7428" width="8.77734375" style="2" customWidth="1"/>
    <col min="7429" max="7429" width="8.88671875" style="2"/>
    <col min="7430" max="7430" width="12.44140625" style="2" customWidth="1"/>
    <col min="7431" max="7431" width="12.33203125" style="2" customWidth="1"/>
    <col min="7432" max="7432" width="8.88671875" style="2"/>
    <col min="7433" max="7433" width="12.109375" style="2" customWidth="1"/>
    <col min="7434" max="7676" width="8.88671875" style="2"/>
    <col min="7677" max="7677" width="15.77734375" style="2" customWidth="1"/>
    <col min="7678" max="7678" width="12.77734375" style="2" customWidth="1"/>
    <col min="7679" max="7679" width="8.77734375" style="2" customWidth="1"/>
    <col min="7680" max="7680" width="13.77734375" style="2" customWidth="1"/>
    <col min="7681" max="7681" width="8.77734375" style="2" customWidth="1"/>
    <col min="7682" max="7682" width="12.77734375" style="2" customWidth="1"/>
    <col min="7683" max="7683" width="10.77734375" style="2" customWidth="1"/>
    <col min="7684" max="7684" width="8.77734375" style="2" customWidth="1"/>
    <col min="7685" max="7685" width="8.88671875" style="2"/>
    <col min="7686" max="7686" width="12.44140625" style="2" customWidth="1"/>
    <col min="7687" max="7687" width="12.33203125" style="2" customWidth="1"/>
    <col min="7688" max="7688" width="8.88671875" style="2"/>
    <col min="7689" max="7689" width="12.109375" style="2" customWidth="1"/>
    <col min="7690" max="7932" width="8.88671875" style="2"/>
    <col min="7933" max="7933" width="15.77734375" style="2" customWidth="1"/>
    <col min="7934" max="7934" width="12.77734375" style="2" customWidth="1"/>
    <col min="7935" max="7935" width="8.77734375" style="2" customWidth="1"/>
    <col min="7936" max="7936" width="13.77734375" style="2" customWidth="1"/>
    <col min="7937" max="7937" width="8.77734375" style="2" customWidth="1"/>
    <col min="7938" max="7938" width="12.77734375" style="2" customWidth="1"/>
    <col min="7939" max="7939" width="10.77734375" style="2" customWidth="1"/>
    <col min="7940" max="7940" width="8.77734375" style="2" customWidth="1"/>
    <col min="7941" max="7941" width="8.88671875" style="2"/>
    <col min="7942" max="7942" width="12.44140625" style="2" customWidth="1"/>
    <col min="7943" max="7943" width="12.33203125" style="2" customWidth="1"/>
    <col min="7944" max="7944" width="8.88671875" style="2"/>
    <col min="7945" max="7945" width="12.109375" style="2" customWidth="1"/>
    <col min="7946" max="8188" width="8.88671875" style="2"/>
    <col min="8189" max="8189" width="15.77734375" style="2" customWidth="1"/>
    <col min="8190" max="8190" width="12.77734375" style="2" customWidth="1"/>
    <col min="8191" max="8191" width="8.77734375" style="2" customWidth="1"/>
    <col min="8192" max="8192" width="13.77734375" style="2" customWidth="1"/>
    <col min="8193" max="8193" width="8.77734375" style="2" customWidth="1"/>
    <col min="8194" max="8194" width="12.77734375" style="2" customWidth="1"/>
    <col min="8195" max="8195" width="10.77734375" style="2" customWidth="1"/>
    <col min="8196" max="8196" width="8.77734375" style="2" customWidth="1"/>
    <col min="8197" max="8197" width="8.88671875" style="2"/>
    <col min="8198" max="8198" width="12.44140625" style="2" customWidth="1"/>
    <col min="8199" max="8199" width="12.33203125" style="2" customWidth="1"/>
    <col min="8200" max="8200" width="8.88671875" style="2"/>
    <col min="8201" max="8201" width="12.109375" style="2" customWidth="1"/>
    <col min="8202" max="8444" width="8.88671875" style="2"/>
    <col min="8445" max="8445" width="15.77734375" style="2" customWidth="1"/>
    <col min="8446" max="8446" width="12.77734375" style="2" customWidth="1"/>
    <col min="8447" max="8447" width="8.77734375" style="2" customWidth="1"/>
    <col min="8448" max="8448" width="13.77734375" style="2" customWidth="1"/>
    <col min="8449" max="8449" width="8.77734375" style="2" customWidth="1"/>
    <col min="8450" max="8450" width="12.77734375" style="2" customWidth="1"/>
    <col min="8451" max="8451" width="10.77734375" style="2" customWidth="1"/>
    <col min="8452" max="8452" width="8.77734375" style="2" customWidth="1"/>
    <col min="8453" max="8453" width="8.88671875" style="2"/>
    <col min="8454" max="8454" width="12.44140625" style="2" customWidth="1"/>
    <col min="8455" max="8455" width="12.33203125" style="2" customWidth="1"/>
    <col min="8456" max="8456" width="8.88671875" style="2"/>
    <col min="8457" max="8457" width="12.109375" style="2" customWidth="1"/>
    <col min="8458" max="8700" width="8.88671875" style="2"/>
    <col min="8701" max="8701" width="15.77734375" style="2" customWidth="1"/>
    <col min="8702" max="8702" width="12.77734375" style="2" customWidth="1"/>
    <col min="8703" max="8703" width="8.77734375" style="2" customWidth="1"/>
    <col min="8704" max="8704" width="13.77734375" style="2" customWidth="1"/>
    <col min="8705" max="8705" width="8.77734375" style="2" customWidth="1"/>
    <col min="8706" max="8706" width="12.77734375" style="2" customWidth="1"/>
    <col min="8707" max="8707" width="10.77734375" style="2" customWidth="1"/>
    <col min="8708" max="8708" width="8.77734375" style="2" customWidth="1"/>
    <col min="8709" max="8709" width="8.88671875" style="2"/>
    <col min="8710" max="8710" width="12.44140625" style="2" customWidth="1"/>
    <col min="8711" max="8711" width="12.33203125" style="2" customWidth="1"/>
    <col min="8712" max="8712" width="8.88671875" style="2"/>
    <col min="8713" max="8713" width="12.109375" style="2" customWidth="1"/>
    <col min="8714" max="8956" width="8.88671875" style="2"/>
    <col min="8957" max="8957" width="15.77734375" style="2" customWidth="1"/>
    <col min="8958" max="8958" width="12.77734375" style="2" customWidth="1"/>
    <col min="8959" max="8959" width="8.77734375" style="2" customWidth="1"/>
    <col min="8960" max="8960" width="13.77734375" style="2" customWidth="1"/>
    <col min="8961" max="8961" width="8.77734375" style="2" customWidth="1"/>
    <col min="8962" max="8962" width="12.77734375" style="2" customWidth="1"/>
    <col min="8963" max="8963" width="10.77734375" style="2" customWidth="1"/>
    <col min="8964" max="8964" width="8.77734375" style="2" customWidth="1"/>
    <col min="8965" max="8965" width="8.88671875" style="2"/>
    <col min="8966" max="8966" width="12.44140625" style="2" customWidth="1"/>
    <col min="8967" max="8967" width="12.33203125" style="2" customWidth="1"/>
    <col min="8968" max="8968" width="8.88671875" style="2"/>
    <col min="8969" max="8969" width="12.109375" style="2" customWidth="1"/>
    <col min="8970" max="9212" width="8.88671875" style="2"/>
    <col min="9213" max="9213" width="15.77734375" style="2" customWidth="1"/>
    <col min="9214" max="9214" width="12.77734375" style="2" customWidth="1"/>
    <col min="9215" max="9215" width="8.77734375" style="2" customWidth="1"/>
    <col min="9216" max="9216" width="13.77734375" style="2" customWidth="1"/>
    <col min="9217" max="9217" width="8.77734375" style="2" customWidth="1"/>
    <col min="9218" max="9218" width="12.77734375" style="2" customWidth="1"/>
    <col min="9219" max="9219" width="10.77734375" style="2" customWidth="1"/>
    <col min="9220" max="9220" width="8.77734375" style="2" customWidth="1"/>
    <col min="9221" max="9221" width="8.88671875" style="2"/>
    <col min="9222" max="9222" width="12.44140625" style="2" customWidth="1"/>
    <col min="9223" max="9223" width="12.33203125" style="2" customWidth="1"/>
    <col min="9224" max="9224" width="8.88671875" style="2"/>
    <col min="9225" max="9225" width="12.109375" style="2" customWidth="1"/>
    <col min="9226" max="9468" width="8.88671875" style="2"/>
    <col min="9469" max="9469" width="15.77734375" style="2" customWidth="1"/>
    <col min="9470" max="9470" width="12.77734375" style="2" customWidth="1"/>
    <col min="9471" max="9471" width="8.77734375" style="2" customWidth="1"/>
    <col min="9472" max="9472" width="13.77734375" style="2" customWidth="1"/>
    <col min="9473" max="9473" width="8.77734375" style="2" customWidth="1"/>
    <col min="9474" max="9474" width="12.77734375" style="2" customWidth="1"/>
    <col min="9475" max="9475" width="10.77734375" style="2" customWidth="1"/>
    <col min="9476" max="9476" width="8.77734375" style="2" customWidth="1"/>
    <col min="9477" max="9477" width="8.88671875" style="2"/>
    <col min="9478" max="9478" width="12.44140625" style="2" customWidth="1"/>
    <col min="9479" max="9479" width="12.33203125" style="2" customWidth="1"/>
    <col min="9480" max="9480" width="8.88671875" style="2"/>
    <col min="9481" max="9481" width="12.109375" style="2" customWidth="1"/>
    <col min="9482" max="9724" width="8.88671875" style="2"/>
    <col min="9725" max="9725" width="15.77734375" style="2" customWidth="1"/>
    <col min="9726" max="9726" width="12.77734375" style="2" customWidth="1"/>
    <col min="9727" max="9727" width="8.77734375" style="2" customWidth="1"/>
    <col min="9728" max="9728" width="13.77734375" style="2" customWidth="1"/>
    <col min="9729" max="9729" width="8.77734375" style="2" customWidth="1"/>
    <col min="9730" max="9730" width="12.77734375" style="2" customWidth="1"/>
    <col min="9731" max="9731" width="10.77734375" style="2" customWidth="1"/>
    <col min="9732" max="9732" width="8.77734375" style="2" customWidth="1"/>
    <col min="9733" max="9733" width="8.88671875" style="2"/>
    <col min="9734" max="9734" width="12.44140625" style="2" customWidth="1"/>
    <col min="9735" max="9735" width="12.33203125" style="2" customWidth="1"/>
    <col min="9736" max="9736" width="8.88671875" style="2"/>
    <col min="9737" max="9737" width="12.109375" style="2" customWidth="1"/>
    <col min="9738" max="9980" width="8.88671875" style="2"/>
    <col min="9981" max="9981" width="15.77734375" style="2" customWidth="1"/>
    <col min="9982" max="9982" width="12.77734375" style="2" customWidth="1"/>
    <col min="9983" max="9983" width="8.77734375" style="2" customWidth="1"/>
    <col min="9984" max="9984" width="13.77734375" style="2" customWidth="1"/>
    <col min="9985" max="9985" width="8.77734375" style="2" customWidth="1"/>
    <col min="9986" max="9986" width="12.77734375" style="2" customWidth="1"/>
    <col min="9987" max="9987" width="10.77734375" style="2" customWidth="1"/>
    <col min="9988" max="9988" width="8.77734375" style="2" customWidth="1"/>
    <col min="9989" max="9989" width="8.88671875" style="2"/>
    <col min="9990" max="9990" width="12.44140625" style="2" customWidth="1"/>
    <col min="9991" max="9991" width="12.33203125" style="2" customWidth="1"/>
    <col min="9992" max="9992" width="8.88671875" style="2"/>
    <col min="9993" max="9993" width="12.109375" style="2" customWidth="1"/>
    <col min="9994" max="10236" width="8.88671875" style="2"/>
    <col min="10237" max="10237" width="15.77734375" style="2" customWidth="1"/>
    <col min="10238" max="10238" width="12.77734375" style="2" customWidth="1"/>
    <col min="10239" max="10239" width="8.77734375" style="2" customWidth="1"/>
    <col min="10240" max="10240" width="13.77734375" style="2" customWidth="1"/>
    <col min="10241" max="10241" width="8.77734375" style="2" customWidth="1"/>
    <col min="10242" max="10242" width="12.77734375" style="2" customWidth="1"/>
    <col min="10243" max="10243" width="10.77734375" style="2" customWidth="1"/>
    <col min="10244" max="10244" width="8.77734375" style="2" customWidth="1"/>
    <col min="10245" max="10245" width="8.88671875" style="2"/>
    <col min="10246" max="10246" width="12.44140625" style="2" customWidth="1"/>
    <col min="10247" max="10247" width="12.33203125" style="2" customWidth="1"/>
    <col min="10248" max="10248" width="8.88671875" style="2"/>
    <col min="10249" max="10249" width="12.109375" style="2" customWidth="1"/>
    <col min="10250" max="10492" width="8.88671875" style="2"/>
    <col min="10493" max="10493" width="15.77734375" style="2" customWidth="1"/>
    <col min="10494" max="10494" width="12.77734375" style="2" customWidth="1"/>
    <col min="10495" max="10495" width="8.77734375" style="2" customWidth="1"/>
    <col min="10496" max="10496" width="13.77734375" style="2" customWidth="1"/>
    <col min="10497" max="10497" width="8.77734375" style="2" customWidth="1"/>
    <col min="10498" max="10498" width="12.77734375" style="2" customWidth="1"/>
    <col min="10499" max="10499" width="10.77734375" style="2" customWidth="1"/>
    <col min="10500" max="10500" width="8.77734375" style="2" customWidth="1"/>
    <col min="10501" max="10501" width="8.88671875" style="2"/>
    <col min="10502" max="10502" width="12.44140625" style="2" customWidth="1"/>
    <col min="10503" max="10503" width="12.33203125" style="2" customWidth="1"/>
    <col min="10504" max="10504" width="8.88671875" style="2"/>
    <col min="10505" max="10505" width="12.109375" style="2" customWidth="1"/>
    <col min="10506" max="10748" width="8.88671875" style="2"/>
    <col min="10749" max="10749" width="15.77734375" style="2" customWidth="1"/>
    <col min="10750" max="10750" width="12.77734375" style="2" customWidth="1"/>
    <col min="10751" max="10751" width="8.77734375" style="2" customWidth="1"/>
    <col min="10752" max="10752" width="13.77734375" style="2" customWidth="1"/>
    <col min="10753" max="10753" width="8.77734375" style="2" customWidth="1"/>
    <col min="10754" max="10754" width="12.77734375" style="2" customWidth="1"/>
    <col min="10755" max="10755" width="10.77734375" style="2" customWidth="1"/>
    <col min="10756" max="10756" width="8.77734375" style="2" customWidth="1"/>
    <col min="10757" max="10757" width="8.88671875" style="2"/>
    <col min="10758" max="10758" width="12.44140625" style="2" customWidth="1"/>
    <col min="10759" max="10759" width="12.33203125" style="2" customWidth="1"/>
    <col min="10760" max="10760" width="8.88671875" style="2"/>
    <col min="10761" max="10761" width="12.109375" style="2" customWidth="1"/>
    <col min="10762" max="11004" width="8.88671875" style="2"/>
    <col min="11005" max="11005" width="15.77734375" style="2" customWidth="1"/>
    <col min="11006" max="11006" width="12.77734375" style="2" customWidth="1"/>
    <col min="11007" max="11007" width="8.77734375" style="2" customWidth="1"/>
    <col min="11008" max="11008" width="13.77734375" style="2" customWidth="1"/>
    <col min="11009" max="11009" width="8.77734375" style="2" customWidth="1"/>
    <col min="11010" max="11010" width="12.77734375" style="2" customWidth="1"/>
    <col min="11011" max="11011" width="10.77734375" style="2" customWidth="1"/>
    <col min="11012" max="11012" width="8.77734375" style="2" customWidth="1"/>
    <col min="11013" max="11013" width="8.88671875" style="2"/>
    <col min="11014" max="11014" width="12.44140625" style="2" customWidth="1"/>
    <col min="11015" max="11015" width="12.33203125" style="2" customWidth="1"/>
    <col min="11016" max="11016" width="8.88671875" style="2"/>
    <col min="11017" max="11017" width="12.109375" style="2" customWidth="1"/>
    <col min="11018" max="11260" width="8.88671875" style="2"/>
    <col min="11261" max="11261" width="15.77734375" style="2" customWidth="1"/>
    <col min="11262" max="11262" width="12.77734375" style="2" customWidth="1"/>
    <col min="11263" max="11263" width="8.77734375" style="2" customWidth="1"/>
    <col min="11264" max="11264" width="13.77734375" style="2" customWidth="1"/>
    <col min="11265" max="11265" width="8.77734375" style="2" customWidth="1"/>
    <col min="11266" max="11266" width="12.77734375" style="2" customWidth="1"/>
    <col min="11267" max="11267" width="10.77734375" style="2" customWidth="1"/>
    <col min="11268" max="11268" width="8.77734375" style="2" customWidth="1"/>
    <col min="11269" max="11269" width="8.88671875" style="2"/>
    <col min="11270" max="11270" width="12.44140625" style="2" customWidth="1"/>
    <col min="11271" max="11271" width="12.33203125" style="2" customWidth="1"/>
    <col min="11272" max="11272" width="8.88671875" style="2"/>
    <col min="11273" max="11273" width="12.109375" style="2" customWidth="1"/>
    <col min="11274" max="11516" width="8.88671875" style="2"/>
    <col min="11517" max="11517" width="15.77734375" style="2" customWidth="1"/>
    <col min="11518" max="11518" width="12.77734375" style="2" customWidth="1"/>
    <col min="11519" max="11519" width="8.77734375" style="2" customWidth="1"/>
    <col min="11520" max="11520" width="13.77734375" style="2" customWidth="1"/>
    <col min="11521" max="11521" width="8.77734375" style="2" customWidth="1"/>
    <col min="11522" max="11522" width="12.77734375" style="2" customWidth="1"/>
    <col min="11523" max="11523" width="10.77734375" style="2" customWidth="1"/>
    <col min="11524" max="11524" width="8.77734375" style="2" customWidth="1"/>
    <col min="11525" max="11525" width="8.88671875" style="2"/>
    <col min="11526" max="11526" width="12.44140625" style="2" customWidth="1"/>
    <col min="11527" max="11527" width="12.33203125" style="2" customWidth="1"/>
    <col min="11528" max="11528" width="8.88671875" style="2"/>
    <col min="11529" max="11529" width="12.109375" style="2" customWidth="1"/>
    <col min="11530" max="11772" width="8.88671875" style="2"/>
    <col min="11773" max="11773" width="15.77734375" style="2" customWidth="1"/>
    <col min="11774" max="11774" width="12.77734375" style="2" customWidth="1"/>
    <col min="11775" max="11775" width="8.77734375" style="2" customWidth="1"/>
    <col min="11776" max="11776" width="13.77734375" style="2" customWidth="1"/>
    <col min="11777" max="11777" width="8.77734375" style="2" customWidth="1"/>
    <col min="11778" max="11778" width="12.77734375" style="2" customWidth="1"/>
    <col min="11779" max="11779" width="10.77734375" style="2" customWidth="1"/>
    <col min="11780" max="11780" width="8.77734375" style="2" customWidth="1"/>
    <col min="11781" max="11781" width="8.88671875" style="2"/>
    <col min="11782" max="11782" width="12.44140625" style="2" customWidth="1"/>
    <col min="11783" max="11783" width="12.33203125" style="2" customWidth="1"/>
    <col min="11784" max="11784" width="8.88671875" style="2"/>
    <col min="11785" max="11785" width="12.109375" style="2" customWidth="1"/>
    <col min="11786" max="12028" width="8.88671875" style="2"/>
    <col min="12029" max="12029" width="15.77734375" style="2" customWidth="1"/>
    <col min="12030" max="12030" width="12.77734375" style="2" customWidth="1"/>
    <col min="12031" max="12031" width="8.77734375" style="2" customWidth="1"/>
    <col min="12032" max="12032" width="13.77734375" style="2" customWidth="1"/>
    <col min="12033" max="12033" width="8.77734375" style="2" customWidth="1"/>
    <col min="12034" max="12034" width="12.77734375" style="2" customWidth="1"/>
    <col min="12035" max="12035" width="10.77734375" style="2" customWidth="1"/>
    <col min="12036" max="12036" width="8.77734375" style="2" customWidth="1"/>
    <col min="12037" max="12037" width="8.88671875" style="2"/>
    <col min="12038" max="12038" width="12.44140625" style="2" customWidth="1"/>
    <col min="12039" max="12039" width="12.33203125" style="2" customWidth="1"/>
    <col min="12040" max="12040" width="8.88671875" style="2"/>
    <col min="12041" max="12041" width="12.109375" style="2" customWidth="1"/>
    <col min="12042" max="12284" width="8.88671875" style="2"/>
    <col min="12285" max="12285" width="15.77734375" style="2" customWidth="1"/>
    <col min="12286" max="12286" width="12.77734375" style="2" customWidth="1"/>
    <col min="12287" max="12287" width="8.77734375" style="2" customWidth="1"/>
    <col min="12288" max="12288" width="13.77734375" style="2" customWidth="1"/>
    <col min="12289" max="12289" width="8.77734375" style="2" customWidth="1"/>
    <col min="12290" max="12290" width="12.77734375" style="2" customWidth="1"/>
    <col min="12291" max="12291" width="10.77734375" style="2" customWidth="1"/>
    <col min="12292" max="12292" width="8.77734375" style="2" customWidth="1"/>
    <col min="12293" max="12293" width="8.88671875" style="2"/>
    <col min="12294" max="12294" width="12.44140625" style="2" customWidth="1"/>
    <col min="12295" max="12295" width="12.33203125" style="2" customWidth="1"/>
    <col min="12296" max="12296" width="8.88671875" style="2"/>
    <col min="12297" max="12297" width="12.109375" style="2" customWidth="1"/>
    <col min="12298" max="12540" width="8.88671875" style="2"/>
    <col min="12541" max="12541" width="15.77734375" style="2" customWidth="1"/>
    <col min="12542" max="12542" width="12.77734375" style="2" customWidth="1"/>
    <col min="12543" max="12543" width="8.77734375" style="2" customWidth="1"/>
    <col min="12544" max="12544" width="13.77734375" style="2" customWidth="1"/>
    <col min="12545" max="12545" width="8.77734375" style="2" customWidth="1"/>
    <col min="12546" max="12546" width="12.77734375" style="2" customWidth="1"/>
    <col min="12547" max="12547" width="10.77734375" style="2" customWidth="1"/>
    <col min="12548" max="12548" width="8.77734375" style="2" customWidth="1"/>
    <col min="12549" max="12549" width="8.88671875" style="2"/>
    <col min="12550" max="12550" width="12.44140625" style="2" customWidth="1"/>
    <col min="12551" max="12551" width="12.33203125" style="2" customWidth="1"/>
    <col min="12552" max="12552" width="8.88671875" style="2"/>
    <col min="12553" max="12553" width="12.109375" style="2" customWidth="1"/>
    <col min="12554" max="12796" width="8.88671875" style="2"/>
    <col min="12797" max="12797" width="15.77734375" style="2" customWidth="1"/>
    <col min="12798" max="12798" width="12.77734375" style="2" customWidth="1"/>
    <col min="12799" max="12799" width="8.77734375" style="2" customWidth="1"/>
    <col min="12800" max="12800" width="13.77734375" style="2" customWidth="1"/>
    <col min="12801" max="12801" width="8.77734375" style="2" customWidth="1"/>
    <col min="12802" max="12802" width="12.77734375" style="2" customWidth="1"/>
    <col min="12803" max="12803" width="10.77734375" style="2" customWidth="1"/>
    <col min="12804" max="12804" width="8.77734375" style="2" customWidth="1"/>
    <col min="12805" max="12805" width="8.88671875" style="2"/>
    <col min="12806" max="12806" width="12.44140625" style="2" customWidth="1"/>
    <col min="12807" max="12807" width="12.33203125" style="2" customWidth="1"/>
    <col min="12808" max="12808" width="8.88671875" style="2"/>
    <col min="12809" max="12809" width="12.109375" style="2" customWidth="1"/>
    <col min="12810" max="13052" width="8.88671875" style="2"/>
    <col min="13053" max="13053" width="15.77734375" style="2" customWidth="1"/>
    <col min="13054" max="13054" width="12.77734375" style="2" customWidth="1"/>
    <col min="13055" max="13055" width="8.77734375" style="2" customWidth="1"/>
    <col min="13056" max="13056" width="13.77734375" style="2" customWidth="1"/>
    <col min="13057" max="13057" width="8.77734375" style="2" customWidth="1"/>
    <col min="13058" max="13058" width="12.77734375" style="2" customWidth="1"/>
    <col min="13059" max="13059" width="10.77734375" style="2" customWidth="1"/>
    <col min="13060" max="13060" width="8.77734375" style="2" customWidth="1"/>
    <col min="13061" max="13061" width="8.88671875" style="2"/>
    <col min="13062" max="13062" width="12.44140625" style="2" customWidth="1"/>
    <col min="13063" max="13063" width="12.33203125" style="2" customWidth="1"/>
    <col min="13064" max="13064" width="8.88671875" style="2"/>
    <col min="13065" max="13065" width="12.109375" style="2" customWidth="1"/>
    <col min="13066" max="13308" width="8.88671875" style="2"/>
    <col min="13309" max="13309" width="15.77734375" style="2" customWidth="1"/>
    <col min="13310" max="13310" width="12.77734375" style="2" customWidth="1"/>
    <col min="13311" max="13311" width="8.77734375" style="2" customWidth="1"/>
    <col min="13312" max="13312" width="13.77734375" style="2" customWidth="1"/>
    <col min="13313" max="13313" width="8.77734375" style="2" customWidth="1"/>
    <col min="13314" max="13314" width="12.77734375" style="2" customWidth="1"/>
    <col min="13315" max="13315" width="10.77734375" style="2" customWidth="1"/>
    <col min="13316" max="13316" width="8.77734375" style="2" customWidth="1"/>
    <col min="13317" max="13317" width="8.88671875" style="2"/>
    <col min="13318" max="13318" width="12.44140625" style="2" customWidth="1"/>
    <col min="13319" max="13319" width="12.33203125" style="2" customWidth="1"/>
    <col min="13320" max="13320" width="8.88671875" style="2"/>
    <col min="13321" max="13321" width="12.109375" style="2" customWidth="1"/>
    <col min="13322" max="13564" width="8.88671875" style="2"/>
    <col min="13565" max="13565" width="15.77734375" style="2" customWidth="1"/>
    <col min="13566" max="13566" width="12.77734375" style="2" customWidth="1"/>
    <col min="13567" max="13567" width="8.77734375" style="2" customWidth="1"/>
    <col min="13568" max="13568" width="13.77734375" style="2" customWidth="1"/>
    <col min="13569" max="13569" width="8.77734375" style="2" customWidth="1"/>
    <col min="13570" max="13570" width="12.77734375" style="2" customWidth="1"/>
    <col min="13571" max="13571" width="10.77734375" style="2" customWidth="1"/>
    <col min="13572" max="13572" width="8.77734375" style="2" customWidth="1"/>
    <col min="13573" max="13573" width="8.88671875" style="2"/>
    <col min="13574" max="13574" width="12.44140625" style="2" customWidth="1"/>
    <col min="13575" max="13575" width="12.33203125" style="2" customWidth="1"/>
    <col min="13576" max="13576" width="8.88671875" style="2"/>
    <col min="13577" max="13577" width="12.109375" style="2" customWidth="1"/>
    <col min="13578" max="13820" width="8.88671875" style="2"/>
    <col min="13821" max="13821" width="15.77734375" style="2" customWidth="1"/>
    <col min="13822" max="13822" width="12.77734375" style="2" customWidth="1"/>
    <col min="13823" max="13823" width="8.77734375" style="2" customWidth="1"/>
    <col min="13824" max="13824" width="13.77734375" style="2" customWidth="1"/>
    <col min="13825" max="13825" width="8.77734375" style="2" customWidth="1"/>
    <col min="13826" max="13826" width="12.77734375" style="2" customWidth="1"/>
    <col min="13827" max="13827" width="10.77734375" style="2" customWidth="1"/>
    <col min="13828" max="13828" width="8.77734375" style="2" customWidth="1"/>
    <col min="13829" max="13829" width="8.88671875" style="2"/>
    <col min="13830" max="13830" width="12.44140625" style="2" customWidth="1"/>
    <col min="13831" max="13831" width="12.33203125" style="2" customWidth="1"/>
    <col min="13832" max="13832" width="8.88671875" style="2"/>
    <col min="13833" max="13833" width="12.109375" style="2" customWidth="1"/>
    <col min="13834" max="14076" width="8.88671875" style="2"/>
    <col min="14077" max="14077" width="15.77734375" style="2" customWidth="1"/>
    <col min="14078" max="14078" width="12.77734375" style="2" customWidth="1"/>
    <col min="14079" max="14079" width="8.77734375" style="2" customWidth="1"/>
    <col min="14080" max="14080" width="13.77734375" style="2" customWidth="1"/>
    <col min="14081" max="14081" width="8.77734375" style="2" customWidth="1"/>
    <col min="14082" max="14082" width="12.77734375" style="2" customWidth="1"/>
    <col min="14083" max="14083" width="10.77734375" style="2" customWidth="1"/>
    <col min="14084" max="14084" width="8.77734375" style="2" customWidth="1"/>
    <col min="14085" max="14085" width="8.88671875" style="2"/>
    <col min="14086" max="14086" width="12.44140625" style="2" customWidth="1"/>
    <col min="14087" max="14087" width="12.33203125" style="2" customWidth="1"/>
    <col min="14088" max="14088" width="8.88671875" style="2"/>
    <col min="14089" max="14089" width="12.109375" style="2" customWidth="1"/>
    <col min="14090" max="14332" width="8.88671875" style="2"/>
    <col min="14333" max="14333" width="15.77734375" style="2" customWidth="1"/>
    <col min="14334" max="14334" width="12.77734375" style="2" customWidth="1"/>
    <col min="14335" max="14335" width="8.77734375" style="2" customWidth="1"/>
    <col min="14336" max="14336" width="13.77734375" style="2" customWidth="1"/>
    <col min="14337" max="14337" width="8.77734375" style="2" customWidth="1"/>
    <col min="14338" max="14338" width="12.77734375" style="2" customWidth="1"/>
    <col min="14339" max="14339" width="10.77734375" style="2" customWidth="1"/>
    <col min="14340" max="14340" width="8.77734375" style="2" customWidth="1"/>
    <col min="14341" max="14341" width="8.88671875" style="2"/>
    <col min="14342" max="14342" width="12.44140625" style="2" customWidth="1"/>
    <col min="14343" max="14343" width="12.33203125" style="2" customWidth="1"/>
    <col min="14344" max="14344" width="8.88671875" style="2"/>
    <col min="14345" max="14345" width="12.109375" style="2" customWidth="1"/>
    <col min="14346" max="14588" width="8.88671875" style="2"/>
    <col min="14589" max="14589" width="15.77734375" style="2" customWidth="1"/>
    <col min="14590" max="14590" width="12.77734375" style="2" customWidth="1"/>
    <col min="14591" max="14591" width="8.77734375" style="2" customWidth="1"/>
    <col min="14592" max="14592" width="13.77734375" style="2" customWidth="1"/>
    <col min="14593" max="14593" width="8.77734375" style="2" customWidth="1"/>
    <col min="14594" max="14594" width="12.77734375" style="2" customWidth="1"/>
    <col min="14595" max="14595" width="10.77734375" style="2" customWidth="1"/>
    <col min="14596" max="14596" width="8.77734375" style="2" customWidth="1"/>
    <col min="14597" max="14597" width="8.88671875" style="2"/>
    <col min="14598" max="14598" width="12.44140625" style="2" customWidth="1"/>
    <col min="14599" max="14599" width="12.33203125" style="2" customWidth="1"/>
    <col min="14600" max="14600" width="8.88671875" style="2"/>
    <col min="14601" max="14601" width="12.109375" style="2" customWidth="1"/>
    <col min="14602" max="14844" width="8.88671875" style="2"/>
    <col min="14845" max="14845" width="15.77734375" style="2" customWidth="1"/>
    <col min="14846" max="14846" width="12.77734375" style="2" customWidth="1"/>
    <col min="14847" max="14847" width="8.77734375" style="2" customWidth="1"/>
    <col min="14848" max="14848" width="13.77734375" style="2" customWidth="1"/>
    <col min="14849" max="14849" width="8.77734375" style="2" customWidth="1"/>
    <col min="14850" max="14850" width="12.77734375" style="2" customWidth="1"/>
    <col min="14851" max="14851" width="10.77734375" style="2" customWidth="1"/>
    <col min="14852" max="14852" width="8.77734375" style="2" customWidth="1"/>
    <col min="14853" max="14853" width="8.88671875" style="2"/>
    <col min="14854" max="14854" width="12.44140625" style="2" customWidth="1"/>
    <col min="14855" max="14855" width="12.33203125" style="2" customWidth="1"/>
    <col min="14856" max="14856" width="8.88671875" style="2"/>
    <col min="14857" max="14857" width="12.109375" style="2" customWidth="1"/>
    <col min="14858" max="15100" width="8.88671875" style="2"/>
    <col min="15101" max="15101" width="15.77734375" style="2" customWidth="1"/>
    <col min="15102" max="15102" width="12.77734375" style="2" customWidth="1"/>
    <col min="15103" max="15103" width="8.77734375" style="2" customWidth="1"/>
    <col min="15104" max="15104" width="13.77734375" style="2" customWidth="1"/>
    <col min="15105" max="15105" width="8.77734375" style="2" customWidth="1"/>
    <col min="15106" max="15106" width="12.77734375" style="2" customWidth="1"/>
    <col min="15107" max="15107" width="10.77734375" style="2" customWidth="1"/>
    <col min="15108" max="15108" width="8.77734375" style="2" customWidth="1"/>
    <col min="15109" max="15109" width="8.88671875" style="2"/>
    <col min="15110" max="15110" width="12.44140625" style="2" customWidth="1"/>
    <col min="15111" max="15111" width="12.33203125" style="2" customWidth="1"/>
    <col min="15112" max="15112" width="8.88671875" style="2"/>
    <col min="15113" max="15113" width="12.109375" style="2" customWidth="1"/>
    <col min="15114" max="15356" width="8.88671875" style="2"/>
    <col min="15357" max="15357" width="15.77734375" style="2" customWidth="1"/>
    <col min="15358" max="15358" width="12.77734375" style="2" customWidth="1"/>
    <col min="15359" max="15359" width="8.77734375" style="2" customWidth="1"/>
    <col min="15360" max="15360" width="13.77734375" style="2" customWidth="1"/>
    <col min="15361" max="15361" width="8.77734375" style="2" customWidth="1"/>
    <col min="15362" max="15362" width="12.77734375" style="2" customWidth="1"/>
    <col min="15363" max="15363" width="10.77734375" style="2" customWidth="1"/>
    <col min="15364" max="15364" width="8.77734375" style="2" customWidth="1"/>
    <col min="15365" max="15365" width="8.88671875" style="2"/>
    <col min="15366" max="15366" width="12.44140625" style="2" customWidth="1"/>
    <col min="15367" max="15367" width="12.33203125" style="2" customWidth="1"/>
    <col min="15368" max="15368" width="8.88671875" style="2"/>
    <col min="15369" max="15369" width="12.109375" style="2" customWidth="1"/>
    <col min="15370" max="15612" width="8.88671875" style="2"/>
    <col min="15613" max="15613" width="15.77734375" style="2" customWidth="1"/>
    <col min="15614" max="15614" width="12.77734375" style="2" customWidth="1"/>
    <col min="15615" max="15615" width="8.77734375" style="2" customWidth="1"/>
    <col min="15616" max="15616" width="13.77734375" style="2" customWidth="1"/>
    <col min="15617" max="15617" width="8.77734375" style="2" customWidth="1"/>
    <col min="15618" max="15618" width="12.77734375" style="2" customWidth="1"/>
    <col min="15619" max="15619" width="10.77734375" style="2" customWidth="1"/>
    <col min="15620" max="15620" width="8.77734375" style="2" customWidth="1"/>
    <col min="15621" max="15621" width="8.88671875" style="2"/>
    <col min="15622" max="15622" width="12.44140625" style="2" customWidth="1"/>
    <col min="15623" max="15623" width="12.33203125" style="2" customWidth="1"/>
    <col min="15624" max="15624" width="8.88671875" style="2"/>
    <col min="15625" max="15625" width="12.109375" style="2" customWidth="1"/>
    <col min="15626" max="15868" width="8.88671875" style="2"/>
    <col min="15869" max="15869" width="15.77734375" style="2" customWidth="1"/>
    <col min="15870" max="15870" width="12.77734375" style="2" customWidth="1"/>
    <col min="15871" max="15871" width="8.77734375" style="2" customWidth="1"/>
    <col min="15872" max="15872" width="13.77734375" style="2" customWidth="1"/>
    <col min="15873" max="15873" width="8.77734375" style="2" customWidth="1"/>
    <col min="15874" max="15874" width="12.77734375" style="2" customWidth="1"/>
    <col min="15875" max="15875" width="10.77734375" style="2" customWidth="1"/>
    <col min="15876" max="15876" width="8.77734375" style="2" customWidth="1"/>
    <col min="15877" max="15877" width="8.88671875" style="2"/>
    <col min="15878" max="15878" width="12.44140625" style="2" customWidth="1"/>
    <col min="15879" max="15879" width="12.33203125" style="2" customWidth="1"/>
    <col min="15880" max="15880" width="8.88671875" style="2"/>
    <col min="15881" max="15881" width="12.109375" style="2" customWidth="1"/>
    <col min="15882" max="16124" width="8.88671875" style="2"/>
    <col min="16125" max="16125" width="15.77734375" style="2" customWidth="1"/>
    <col min="16126" max="16126" width="12.77734375" style="2" customWidth="1"/>
    <col min="16127" max="16127" width="8.77734375" style="2" customWidth="1"/>
    <col min="16128" max="16128" width="13.77734375" style="2" customWidth="1"/>
    <col min="16129" max="16129" width="8.77734375" style="2" customWidth="1"/>
    <col min="16130" max="16130" width="12.77734375" style="2" customWidth="1"/>
    <col min="16131" max="16131" width="10.77734375" style="2" customWidth="1"/>
    <col min="16132" max="16132" width="8.77734375" style="2" customWidth="1"/>
    <col min="16133" max="16133" width="8.88671875" style="2"/>
    <col min="16134" max="16134" width="12.44140625" style="2" customWidth="1"/>
    <col min="16135" max="16135" width="12.33203125" style="2" customWidth="1"/>
    <col min="16136" max="16136" width="8.88671875" style="2"/>
    <col min="16137" max="16137" width="12.109375" style="2" customWidth="1"/>
    <col min="16138" max="16384" width="8.88671875" style="2"/>
  </cols>
  <sheetData>
    <row r="1" spans="1:8" x14ac:dyDescent="0.2">
      <c r="A1" s="57"/>
      <c r="B1" s="57"/>
      <c r="C1" s="57"/>
      <c r="D1" s="57"/>
      <c r="E1" s="57"/>
      <c r="F1" s="57"/>
      <c r="G1" s="57"/>
      <c r="H1" s="49">
        <f>'Budget Hearing Notice'!H1</f>
        <v>2023</v>
      </c>
    </row>
    <row r="2" spans="1:8" x14ac:dyDescent="0.2">
      <c r="A2" s="950" t="s">
        <v>977</v>
      </c>
      <c r="B2" s="844"/>
      <c r="C2" s="844"/>
      <c r="D2" s="844"/>
      <c r="E2" s="844"/>
      <c r="F2" s="844"/>
      <c r="G2" s="844"/>
      <c r="H2" s="844"/>
    </row>
    <row r="3" spans="1:8" x14ac:dyDescent="0.2">
      <c r="A3" s="57"/>
      <c r="B3" s="57"/>
      <c r="C3" s="57"/>
      <c r="D3" s="57"/>
      <c r="E3" s="57"/>
      <c r="F3" s="57"/>
      <c r="G3" s="57"/>
      <c r="H3" s="57"/>
    </row>
    <row r="4" spans="1:8" x14ac:dyDescent="0.2">
      <c r="A4" s="946" t="s">
        <v>40</v>
      </c>
      <c r="B4" s="946"/>
      <c r="C4" s="946"/>
      <c r="D4" s="946"/>
      <c r="E4" s="946"/>
      <c r="F4" s="946"/>
      <c r="G4" s="946"/>
      <c r="H4" s="946"/>
    </row>
    <row r="5" spans="1:8" x14ac:dyDescent="0.2">
      <c r="A5" s="951" t="str">
        <f>inputPrYr!D3</f>
        <v>Valley Falls</v>
      </c>
      <c r="B5" s="949"/>
      <c r="C5" s="949"/>
      <c r="D5" s="949"/>
      <c r="E5" s="949"/>
      <c r="F5" s="949"/>
      <c r="G5" s="949"/>
      <c r="H5" s="949"/>
    </row>
    <row r="6" spans="1:8" x14ac:dyDescent="0.2">
      <c r="A6" s="946" t="str">
        <f>CONCATENATE("will meet on ",inputHearing!B42," at ",inputHearing!B44," at ",inputHearing!B46," for the purpose of hearing and")</f>
        <v>will meet on September 14, 2022 at 6:30 PM at City Hall for the purpose of hearing and</v>
      </c>
      <c r="B6" s="946"/>
      <c r="C6" s="946"/>
      <c r="D6" s="946"/>
      <c r="E6" s="946"/>
      <c r="F6" s="946"/>
      <c r="G6" s="946"/>
      <c r="H6" s="946"/>
    </row>
    <row r="7" spans="1:8" ht="14.25" customHeight="1" x14ac:dyDescent="0.2">
      <c r="A7" s="946" t="s">
        <v>978</v>
      </c>
      <c r="B7" s="946"/>
      <c r="C7" s="946"/>
      <c r="D7" s="946"/>
      <c r="E7" s="946"/>
      <c r="F7" s="946"/>
      <c r="G7" s="946"/>
      <c r="H7" s="946"/>
    </row>
    <row r="8" spans="1:8" ht="11.25" customHeight="1" x14ac:dyDescent="0.2">
      <c r="A8" s="57"/>
      <c r="B8" s="57"/>
      <c r="C8" s="57"/>
      <c r="D8" s="57"/>
      <c r="E8" s="57"/>
      <c r="F8" s="57"/>
      <c r="G8" s="57"/>
      <c r="H8" s="57"/>
    </row>
    <row r="9" spans="1:8" ht="15" customHeight="1" x14ac:dyDescent="0.2">
      <c r="A9" s="949" t="s">
        <v>979</v>
      </c>
      <c r="B9" s="949"/>
      <c r="C9" s="949"/>
      <c r="D9" s="949"/>
      <c r="E9" s="949"/>
      <c r="F9" s="949"/>
      <c r="G9" s="949"/>
      <c r="H9" s="949"/>
    </row>
    <row r="10" spans="1:8" ht="12" customHeight="1" x14ac:dyDescent="0.2">
      <c r="A10" s="945" t="str">
        <f>inputPrYr!D4</f>
        <v>Jefferson</v>
      </c>
      <c r="B10" s="946"/>
      <c r="C10" s="946"/>
      <c r="D10" s="946"/>
      <c r="E10" s="946"/>
      <c r="F10" s="946"/>
      <c r="G10" s="946"/>
      <c r="H10" s="946"/>
    </row>
    <row r="11" spans="1:8" x14ac:dyDescent="0.2">
      <c r="A11" s="771"/>
      <c r="B11" s="772"/>
      <c r="C11" s="772"/>
      <c r="D11" s="772"/>
      <c r="E11" s="772"/>
      <c r="F11" s="772"/>
      <c r="G11" s="772"/>
      <c r="H11" s="772"/>
    </row>
    <row r="12" spans="1:8" x14ac:dyDescent="0.2">
      <c r="A12" s="771"/>
      <c r="B12" s="947" t="s">
        <v>980</v>
      </c>
      <c r="C12" s="947"/>
      <c r="D12" s="773">
        <f>'Budget Hearing Notice'!H44</f>
        <v>34.689</v>
      </c>
      <c r="E12" s="947" t="s">
        <v>981</v>
      </c>
      <c r="F12" s="947"/>
      <c r="G12" s="774">
        <f>'Budget Hearing Notice'!H43</f>
        <v>29.513999999999999</v>
      </c>
      <c r="H12" s="772"/>
    </row>
    <row r="13" spans="1:8" x14ac:dyDescent="0.2">
      <c r="A13" s="57"/>
      <c r="B13" s="775"/>
      <c r="C13" s="775"/>
      <c r="D13" s="775"/>
      <c r="E13" s="775"/>
      <c r="F13" s="775"/>
      <c r="G13" s="775"/>
      <c r="H13" s="775"/>
    </row>
    <row r="14" spans="1:8" x14ac:dyDescent="0.2">
      <c r="A14" s="57"/>
      <c r="B14" s="948" t="s">
        <v>982</v>
      </c>
      <c r="C14" s="948"/>
      <c r="D14" s="948"/>
      <c r="E14" s="948"/>
      <c r="F14" s="948"/>
      <c r="G14" s="57"/>
      <c r="H14" s="49"/>
    </row>
    <row r="15" spans="1:8" x14ac:dyDescent="0.2">
      <c r="A15" s="57"/>
      <c r="B15" s="948" t="s">
        <v>983</v>
      </c>
      <c r="C15" s="948"/>
      <c r="D15" s="948"/>
      <c r="E15" s="948"/>
      <c r="F15" s="948"/>
      <c r="G15" s="57"/>
      <c r="H15" s="49"/>
    </row>
    <row r="16" spans="1:8" x14ac:dyDescent="0.2">
      <c r="A16" s="57"/>
      <c r="B16" s="776"/>
      <c r="C16" s="776"/>
      <c r="D16" s="776"/>
      <c r="E16" s="776"/>
      <c r="F16" s="776"/>
      <c r="G16" s="57"/>
      <c r="H16" s="49"/>
    </row>
    <row r="17" spans="1:8" x14ac:dyDescent="0.2">
      <c r="A17" s="57"/>
      <c r="B17" s="776"/>
      <c r="C17" s="776"/>
      <c r="D17" s="745" t="s">
        <v>29</v>
      </c>
      <c r="E17" s="600">
        <v>25</v>
      </c>
      <c r="F17" s="776"/>
      <c r="G17" s="57"/>
      <c r="H17" s="49"/>
    </row>
    <row r="19" spans="1:8" x14ac:dyDescent="0.2">
      <c r="A19" s="7"/>
      <c r="B19" s="7"/>
      <c r="C19" s="7"/>
      <c r="D19" s="7"/>
      <c r="E19" s="7"/>
      <c r="F19" s="7"/>
      <c r="G19" s="7"/>
      <c r="H19" s="7"/>
    </row>
    <row r="21" spans="1:8" x14ac:dyDescent="0.2">
      <c r="A21" s="7"/>
      <c r="B21" s="7"/>
      <c r="C21" s="7"/>
      <c r="D21" s="7"/>
      <c r="E21" s="7"/>
      <c r="F21" s="7"/>
      <c r="G21" s="7"/>
      <c r="H21" s="7"/>
    </row>
    <row r="22" spans="1:8" x14ac:dyDescent="0.2">
      <c r="A22" s="7"/>
      <c r="B22" s="7"/>
      <c r="C22" s="7"/>
      <c r="D22" s="7"/>
      <c r="E22" s="7"/>
      <c r="F22" s="7"/>
      <c r="G22" s="7"/>
      <c r="H22" s="7"/>
    </row>
    <row r="23" spans="1:8" x14ac:dyDescent="0.2">
      <c r="A23" s="7"/>
      <c r="B23" s="7"/>
      <c r="C23" s="7"/>
      <c r="D23" s="7"/>
      <c r="E23" s="7"/>
      <c r="F23" s="7"/>
      <c r="G23" s="7"/>
      <c r="H23" s="7"/>
    </row>
    <row r="24" spans="1:8" x14ac:dyDescent="0.2">
      <c r="A24" s="7"/>
      <c r="B24" s="7"/>
      <c r="C24" s="7"/>
      <c r="D24" s="7"/>
      <c r="E24" s="7"/>
      <c r="F24" s="7"/>
      <c r="G24" s="7"/>
      <c r="H24" s="7"/>
    </row>
    <row r="25" spans="1:8" x14ac:dyDescent="0.2">
      <c r="A25" s="7"/>
      <c r="B25" s="7"/>
      <c r="C25" s="7"/>
      <c r="D25" s="7"/>
      <c r="E25" s="7"/>
      <c r="F25" s="7"/>
      <c r="G25" s="7"/>
      <c r="H25" s="7"/>
    </row>
    <row r="26" spans="1:8" x14ac:dyDescent="0.2">
      <c r="A26" s="7"/>
      <c r="B26" s="7"/>
      <c r="C26" s="7"/>
      <c r="D26" s="7"/>
      <c r="E26" s="7"/>
      <c r="F26" s="7"/>
      <c r="G26" s="7"/>
      <c r="H26" s="7"/>
    </row>
    <row r="27" spans="1:8" x14ac:dyDescent="0.2">
      <c r="A27" s="7"/>
      <c r="B27" s="7"/>
      <c r="C27" s="7"/>
      <c r="D27" s="7"/>
      <c r="E27" s="7"/>
      <c r="F27" s="7"/>
      <c r="G27" s="7"/>
      <c r="H27" s="7"/>
    </row>
    <row r="28" spans="1:8" x14ac:dyDescent="0.2">
      <c r="A28" s="7"/>
      <c r="B28" s="7"/>
      <c r="C28" s="7"/>
      <c r="D28" s="7"/>
      <c r="E28" s="7"/>
      <c r="F28" s="7"/>
      <c r="G28" s="7"/>
      <c r="H28" s="7"/>
    </row>
    <row r="29" spans="1:8" x14ac:dyDescent="0.2">
      <c r="A29" s="7"/>
      <c r="B29" s="7"/>
      <c r="C29" s="7"/>
      <c r="D29" s="7"/>
      <c r="E29" s="7"/>
      <c r="F29" s="7"/>
      <c r="G29" s="7"/>
      <c r="H29" s="7"/>
    </row>
    <row r="37" ht="15" customHeight="1" x14ac:dyDescent="0.2"/>
  </sheetData>
  <sheetProtection sheet="1" objects="1" scenarios="1"/>
  <mergeCells count="11">
    <mergeCell ref="A9:H9"/>
    <mergeCell ref="A2:H2"/>
    <mergeCell ref="A4:H4"/>
    <mergeCell ref="A5:H5"/>
    <mergeCell ref="A6:H6"/>
    <mergeCell ref="A7:H7"/>
    <mergeCell ref="A10:H10"/>
    <mergeCell ref="B12:C12"/>
    <mergeCell ref="E12:F12"/>
    <mergeCell ref="B14:F14"/>
    <mergeCell ref="B15:F15"/>
  </mergeCells>
  <pageMargins left="1" right="1" top="0.5" bottom="0.5" header="0.5" footer="0.5"/>
  <pageSetup scale="76" orientation="portrait" blackAndWhite="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5">
    <pageSetUpPr fitToPage="1"/>
  </sheetPr>
  <dimension ref="A1:F41"/>
  <sheetViews>
    <sheetView topLeftCell="A13" workbookViewId="0">
      <selection activeCell="L39" sqref="L39"/>
    </sheetView>
  </sheetViews>
  <sheetFormatPr defaultRowHeight="15" x14ac:dyDescent="0.2"/>
  <cols>
    <col min="1" max="1" width="10.77734375" style="54" customWidth="1"/>
    <col min="2" max="2" width="15.5546875" style="54" customWidth="1"/>
    <col min="3" max="4" width="12.77734375" style="54" customWidth="1"/>
    <col min="5" max="5" width="11.77734375" style="54" customWidth="1"/>
    <col min="6" max="16384" width="8.88671875" style="54"/>
  </cols>
  <sheetData>
    <row r="1" spans="1:6" ht="15.75" x14ac:dyDescent="0.2">
      <c r="A1" s="112" t="str">
        <f>inputPrYr!D3</f>
        <v>Valley Falls</v>
      </c>
      <c r="B1" s="6"/>
      <c r="C1" s="6"/>
      <c r="D1" s="6"/>
      <c r="E1" s="6"/>
      <c r="F1" s="6">
        <f>inputPrYr!C6</f>
        <v>2023</v>
      </c>
    </row>
    <row r="2" spans="1:6" ht="15.75" x14ac:dyDescent="0.2">
      <c r="A2" s="6"/>
      <c r="B2" s="6"/>
      <c r="C2" s="6"/>
      <c r="D2" s="6"/>
      <c r="E2" s="6"/>
      <c r="F2" s="6"/>
    </row>
    <row r="3" spans="1:6" ht="15.75" x14ac:dyDescent="0.2">
      <c r="A3" s="6"/>
      <c r="B3" s="953" t="str">
        <f>CONCATENATE("",F1," Neighborhood Revitalization Rebate")</f>
        <v>2023 Neighborhood Revitalization Rebate</v>
      </c>
      <c r="C3" s="953"/>
      <c r="D3" s="953"/>
      <c r="E3" s="953"/>
      <c r="F3" s="6"/>
    </row>
    <row r="4" spans="1:6" ht="15.75" x14ac:dyDescent="0.2">
      <c r="A4" s="6"/>
      <c r="B4" s="6"/>
      <c r="C4" s="6"/>
      <c r="D4" s="6"/>
      <c r="E4" s="6"/>
      <c r="F4" s="49"/>
    </row>
    <row r="5" spans="1:6" ht="51.75" customHeight="1" x14ac:dyDescent="0.2">
      <c r="A5" s="6"/>
      <c r="B5" s="246" t="str">
        <f>CONCATENATE("Budgeted Funds          for ",F1,"")</f>
        <v>Budgeted Funds          for 2023</v>
      </c>
      <c r="C5" s="246" t="str">
        <f>CONCATENATE("",F1-1," Ad Valorem before Rebate**")</f>
        <v>2022 Ad Valorem before Rebate**</v>
      </c>
      <c r="D5" s="247" t="str">
        <f>CONCATENATE("",F1-1," Mil Rate before Rebate")</f>
        <v>2022 Mil Rate before Rebate</v>
      </c>
      <c r="E5" s="248" t="str">
        <f>CONCATENATE("Estimate ",F1," NR Rebate")</f>
        <v>Estimate 2023 NR Rebate</v>
      </c>
      <c r="F5" s="49"/>
    </row>
    <row r="6" spans="1:6" ht="18" customHeight="1" x14ac:dyDescent="0.2">
      <c r="A6" s="6"/>
      <c r="B6" s="23" t="s">
        <v>246</v>
      </c>
      <c r="C6" s="249"/>
      <c r="D6" s="250" t="str">
        <f>IF(C6&gt;0,C6/$D$24,"")</f>
        <v/>
      </c>
      <c r="E6" s="129">
        <f t="shared" ref="E6:E18" si="0">IF(C6&gt;0,ROUND(D6*$D$28,0),0)</f>
        <v>0</v>
      </c>
      <c r="F6" s="49"/>
    </row>
    <row r="7" spans="1:6" ht="15.75" x14ac:dyDescent="0.2">
      <c r="A7" s="6"/>
      <c r="B7" s="23" t="str">
        <f>inputPrYr!B20</f>
        <v>Debt Service</v>
      </c>
      <c r="C7" s="249"/>
      <c r="D7" s="250" t="str">
        <f t="shared" ref="D7:D17" si="1">IF(C7&gt;0,C7/$D$24,"")</f>
        <v/>
      </c>
      <c r="E7" s="129">
        <f t="shared" si="0"/>
        <v>0</v>
      </c>
      <c r="F7" s="49"/>
    </row>
    <row r="8" spans="1:6" ht="15.75" x14ac:dyDescent="0.2">
      <c r="A8" s="6"/>
      <c r="B8" s="41" t="str">
        <f>IF((inputPrYr!$B21&gt;"  "),(inputPrYr!$B21),"  ")</f>
        <v>Library</v>
      </c>
      <c r="C8" s="249"/>
      <c r="D8" s="250" t="str">
        <f t="shared" si="1"/>
        <v/>
      </c>
      <c r="E8" s="129">
        <f t="shared" si="0"/>
        <v>0</v>
      </c>
      <c r="F8" s="49"/>
    </row>
    <row r="9" spans="1:6" ht="15.75" x14ac:dyDescent="0.2">
      <c r="A9" s="6"/>
      <c r="B9" s="41" t="str">
        <f>IF((inputPrYr!$B23&gt;"  "),(inputPrYr!$B23),"  ")</f>
        <v>Bond &amp; Interest</v>
      </c>
      <c r="C9" s="249"/>
      <c r="D9" s="250" t="str">
        <f t="shared" si="1"/>
        <v/>
      </c>
      <c r="E9" s="129">
        <f t="shared" si="0"/>
        <v>0</v>
      </c>
      <c r="F9" s="49"/>
    </row>
    <row r="10" spans="1:6" ht="15.75" x14ac:dyDescent="0.2">
      <c r="A10" s="6"/>
      <c r="B10" s="41" t="str">
        <f>IF((inputPrYr!$B24&gt;"  "),(inputPrYr!$B24),"  ")</f>
        <v xml:space="preserve">  </v>
      </c>
      <c r="C10" s="249"/>
      <c r="D10" s="250" t="str">
        <f t="shared" si="1"/>
        <v/>
      </c>
      <c r="E10" s="129">
        <f t="shared" si="0"/>
        <v>0</v>
      </c>
      <c r="F10" s="49"/>
    </row>
    <row r="11" spans="1:6" ht="15.75" x14ac:dyDescent="0.2">
      <c r="A11" s="6"/>
      <c r="B11" s="41" t="str">
        <f>IF((inputPrYr!$B25&gt;"  "),(inputPrYr!$B25),"  ")</f>
        <v xml:space="preserve">  </v>
      </c>
      <c r="C11" s="249"/>
      <c r="D11" s="250" t="str">
        <f t="shared" si="1"/>
        <v/>
      </c>
      <c r="E11" s="129">
        <f t="shared" si="0"/>
        <v>0</v>
      </c>
      <c r="F11" s="49"/>
    </row>
    <row r="12" spans="1:6" ht="15.75" x14ac:dyDescent="0.2">
      <c r="A12" s="6"/>
      <c r="B12" s="41" t="str">
        <f>IF((inputPrYr!$B26&gt;"  "),(inputPrYr!$B26),"  ")</f>
        <v xml:space="preserve">  </v>
      </c>
      <c r="C12" s="251"/>
      <c r="D12" s="250" t="str">
        <f t="shared" si="1"/>
        <v/>
      </c>
      <c r="E12" s="129">
        <f t="shared" si="0"/>
        <v>0</v>
      </c>
      <c r="F12" s="49"/>
    </row>
    <row r="13" spans="1:6" ht="15.75" x14ac:dyDescent="0.2">
      <c r="A13" s="6"/>
      <c r="B13" s="41" t="str">
        <f>IF((inputPrYr!$B27&gt;"  "),(inputPrYr!$B27),"  ")</f>
        <v xml:space="preserve">  </v>
      </c>
      <c r="C13" s="251"/>
      <c r="D13" s="250" t="str">
        <f t="shared" si="1"/>
        <v/>
      </c>
      <c r="E13" s="129">
        <f t="shared" si="0"/>
        <v>0</v>
      </c>
      <c r="F13" s="49"/>
    </row>
    <row r="14" spans="1:6" ht="15.75" x14ac:dyDescent="0.2">
      <c r="A14" s="6"/>
      <c r="B14" s="41" t="str">
        <f>IF((inputPrYr!$B28&gt;"  "),(inputPrYr!$B28),"  ")</f>
        <v xml:space="preserve">  </v>
      </c>
      <c r="C14" s="251"/>
      <c r="D14" s="250" t="str">
        <f t="shared" si="1"/>
        <v/>
      </c>
      <c r="E14" s="129">
        <f t="shared" si="0"/>
        <v>0</v>
      </c>
      <c r="F14" s="49"/>
    </row>
    <row r="15" spans="1:6" ht="15.75" x14ac:dyDescent="0.2">
      <c r="A15" s="6"/>
      <c r="B15" s="41" t="str">
        <f>IF((inputPrYr!$B29&gt;"  "),(inputPrYr!$B29),"  ")</f>
        <v xml:space="preserve">  </v>
      </c>
      <c r="C15" s="251"/>
      <c r="D15" s="250" t="str">
        <f t="shared" si="1"/>
        <v/>
      </c>
      <c r="E15" s="129">
        <f t="shared" si="0"/>
        <v>0</v>
      </c>
      <c r="F15" s="49"/>
    </row>
    <row r="16" spans="1:6" ht="15.75" x14ac:dyDescent="0.2">
      <c r="A16" s="6"/>
      <c r="B16" s="41" t="str">
        <f>IF((inputPrYr!$B30&gt;"  "),(inputPrYr!$B30),"  ")</f>
        <v xml:space="preserve">  </v>
      </c>
      <c r="C16" s="251"/>
      <c r="D16" s="250" t="str">
        <f t="shared" si="1"/>
        <v/>
      </c>
      <c r="E16" s="129">
        <f t="shared" si="0"/>
        <v>0</v>
      </c>
      <c r="F16" s="49"/>
    </row>
    <row r="17" spans="1:6" ht="15.75" x14ac:dyDescent="0.2">
      <c r="A17" s="6"/>
      <c r="B17" s="41" t="str">
        <f>IF((inputPrYr!$B31&gt;"  "),(inputPrYr!$B31),"  ")</f>
        <v xml:space="preserve">  </v>
      </c>
      <c r="C17" s="251"/>
      <c r="D17" s="250" t="str">
        <f t="shared" si="1"/>
        <v/>
      </c>
      <c r="E17" s="129">
        <f t="shared" si="0"/>
        <v>0</v>
      </c>
      <c r="F17" s="49"/>
    </row>
    <row r="18" spans="1:6" ht="15.75" x14ac:dyDescent="0.2">
      <c r="A18" s="6"/>
      <c r="B18" s="41" t="str">
        <f>IF((inputPrYr!$B32&gt;"  "),(inputPrYr!$B32),"  ")</f>
        <v xml:space="preserve">  </v>
      </c>
      <c r="C18" s="251"/>
      <c r="D18" s="250" t="str">
        <f>IF(C18&gt;0,C18/$D$24,"")</f>
        <v/>
      </c>
      <c r="E18" s="129">
        <f t="shared" si="0"/>
        <v>0</v>
      </c>
      <c r="F18" s="49"/>
    </row>
    <row r="19" spans="1:6" ht="17.25" customHeight="1" thickBot="1" x14ac:dyDescent="0.25">
      <c r="A19" s="6"/>
      <c r="B19" s="24" t="s">
        <v>16</v>
      </c>
      <c r="C19" s="252">
        <f>SUM(C6:C18)</f>
        <v>0</v>
      </c>
      <c r="D19" s="253">
        <f>SUM(D6:D18)</f>
        <v>0</v>
      </c>
      <c r="E19" s="252">
        <f>SUM(E6:E18)</f>
        <v>0</v>
      </c>
      <c r="F19" s="49"/>
    </row>
    <row r="20" spans="1:6" ht="16.5" thickTop="1" x14ac:dyDescent="0.2">
      <c r="A20" s="6"/>
      <c r="B20" s="6"/>
      <c r="C20" s="6"/>
      <c r="D20" s="6"/>
      <c r="E20" s="6"/>
      <c r="F20" s="49"/>
    </row>
    <row r="21" spans="1:6" ht="15.75" x14ac:dyDescent="0.2">
      <c r="A21" s="6"/>
      <c r="B21" s="6"/>
      <c r="C21" s="6"/>
      <c r="D21" s="6"/>
      <c r="E21" s="6"/>
      <c r="F21" s="49"/>
    </row>
    <row r="22" spans="1:6" ht="18.75" customHeight="1" x14ac:dyDescent="0.2">
      <c r="A22" s="954" t="str">
        <f>CONCATENATE("",F1-1," July 1 Valuation:")</f>
        <v>2022 July 1 Valuation:</v>
      </c>
      <c r="B22" s="885"/>
      <c r="C22" s="954"/>
      <c r="D22" s="245">
        <f>inputOth!E7</f>
        <v>7356294</v>
      </c>
      <c r="E22" s="6"/>
      <c r="F22" s="49"/>
    </row>
    <row r="23" spans="1:6" ht="15.75" x14ac:dyDescent="0.2">
      <c r="A23" s="6"/>
      <c r="B23" s="6"/>
      <c r="C23" s="6"/>
      <c r="D23" s="6"/>
      <c r="E23" s="6"/>
      <c r="F23" s="49"/>
    </row>
    <row r="24" spans="1:6" ht="15.75" x14ac:dyDescent="0.2">
      <c r="A24" s="6"/>
      <c r="B24" s="954" t="s">
        <v>277</v>
      </c>
      <c r="C24" s="954"/>
      <c r="D24" s="254">
        <f>IF(D22&gt;0,(D22*0.001),"")</f>
        <v>7356.2939999999999</v>
      </c>
      <c r="E24" s="6"/>
      <c r="F24" s="49"/>
    </row>
    <row r="25" spans="1:6" ht="15.75" x14ac:dyDescent="0.2">
      <c r="A25" s="6"/>
      <c r="B25" s="83"/>
      <c r="C25" s="83"/>
      <c r="D25" s="255"/>
      <c r="E25" s="6"/>
      <c r="F25" s="49"/>
    </row>
    <row r="26" spans="1:6" ht="15.75" x14ac:dyDescent="0.2">
      <c r="A26" s="952" t="s">
        <v>278</v>
      </c>
      <c r="B26" s="844"/>
      <c r="C26" s="844"/>
      <c r="D26" s="256">
        <f>inputOth!E18</f>
        <v>0</v>
      </c>
      <c r="E26" s="56"/>
      <c r="F26" s="56"/>
    </row>
    <row r="27" spans="1:6" x14ac:dyDescent="0.2">
      <c r="A27" s="56"/>
      <c r="B27" s="56"/>
      <c r="C27" s="56"/>
      <c r="D27" s="257"/>
      <c r="E27" s="56"/>
      <c r="F27" s="56"/>
    </row>
    <row r="28" spans="1:6" ht="15.75" x14ac:dyDescent="0.2">
      <c r="A28" s="56"/>
      <c r="B28" s="952" t="s">
        <v>279</v>
      </c>
      <c r="C28" s="885"/>
      <c r="D28" s="258" t="str">
        <f>IF(D26&gt;0,(D26*0.001),"")</f>
        <v/>
      </c>
      <c r="E28" s="56"/>
      <c r="F28" s="56"/>
    </row>
    <row r="29" spans="1:6" x14ac:dyDescent="0.2">
      <c r="A29" s="56"/>
      <c r="B29" s="56"/>
      <c r="C29" s="56"/>
      <c r="D29" s="56"/>
      <c r="E29" s="56"/>
      <c r="F29" s="56"/>
    </row>
    <row r="30" spans="1:6" x14ac:dyDescent="0.2">
      <c r="A30" s="56"/>
      <c r="B30" s="56"/>
      <c r="C30" s="56"/>
      <c r="D30" s="56"/>
      <c r="E30" s="56"/>
      <c r="F30" s="56"/>
    </row>
    <row r="31" spans="1:6" x14ac:dyDescent="0.2">
      <c r="A31" s="56"/>
      <c r="B31" s="56"/>
      <c r="C31" s="56"/>
      <c r="D31" s="56"/>
      <c r="E31" s="56"/>
      <c r="F31" s="56"/>
    </row>
    <row r="32" spans="1:6" ht="15.75" x14ac:dyDescent="0.25">
      <c r="A32" s="277" t="str">
        <f>CONCATENATE("**This information comes from the ",F1," Budget Summary page. See instructions tab step #12 for")</f>
        <v>**This information comes from the 2023 Budget Summary page. See instructions tab step #12 for</v>
      </c>
      <c r="B32" s="56"/>
      <c r="C32" s="56"/>
      <c r="D32" s="56"/>
      <c r="E32" s="56"/>
      <c r="F32" s="56"/>
    </row>
    <row r="33" spans="1:6" ht="15.75" x14ac:dyDescent="0.25">
      <c r="A33" s="277" t="s">
        <v>986</v>
      </c>
      <c r="B33" s="56"/>
      <c r="C33" s="56"/>
      <c r="D33" s="56"/>
      <c r="E33" s="56"/>
      <c r="F33" s="56"/>
    </row>
    <row r="34" spans="1:6" ht="15.75" x14ac:dyDescent="0.25">
      <c r="A34" s="277"/>
      <c r="B34" s="56"/>
      <c r="C34" s="56"/>
      <c r="D34" s="56"/>
      <c r="E34" s="56"/>
      <c r="F34" s="56"/>
    </row>
    <row r="35" spans="1:6" ht="15.75" x14ac:dyDescent="0.25">
      <c r="A35" s="277"/>
      <c r="B35" s="56"/>
      <c r="C35" s="56"/>
      <c r="D35" s="56"/>
      <c r="E35" s="56"/>
      <c r="F35" s="56"/>
    </row>
    <row r="36" spans="1:6" ht="15.75" x14ac:dyDescent="0.25">
      <c r="A36" s="277"/>
      <c r="B36" s="56"/>
      <c r="C36" s="56"/>
      <c r="D36" s="56"/>
      <c r="E36" s="56"/>
      <c r="F36" s="56"/>
    </row>
    <row r="37" spans="1:6" ht="15.75" x14ac:dyDescent="0.25">
      <c r="A37" s="277"/>
      <c r="B37" s="56"/>
      <c r="C37" s="56"/>
      <c r="D37" s="56"/>
      <c r="E37" s="56"/>
      <c r="F37" s="56"/>
    </row>
    <row r="38" spans="1:6" ht="15.75" x14ac:dyDescent="0.25">
      <c r="A38" s="277"/>
      <c r="B38" s="56"/>
      <c r="C38" s="56"/>
      <c r="D38" s="56"/>
      <c r="E38" s="56"/>
      <c r="F38" s="56"/>
    </row>
    <row r="39" spans="1:6" x14ac:dyDescent="0.2">
      <c r="A39" s="56"/>
      <c r="B39" s="56"/>
      <c r="C39" s="56"/>
      <c r="D39" s="56"/>
      <c r="E39" s="56"/>
      <c r="F39" s="56"/>
    </row>
    <row r="40" spans="1:6" ht="15.75" x14ac:dyDescent="0.2">
      <c r="A40" s="56"/>
      <c r="B40" s="185" t="s">
        <v>37</v>
      </c>
      <c r="C40" s="600">
        <v>26</v>
      </c>
      <c r="D40" s="56"/>
      <c r="E40" s="56"/>
      <c r="F40" s="56"/>
    </row>
    <row r="41" spans="1:6" ht="15.75" x14ac:dyDescent="0.2">
      <c r="A41" s="49"/>
      <c r="B41" s="6"/>
      <c r="C41" s="6"/>
      <c r="D41" s="28"/>
      <c r="E41" s="49"/>
      <c r="F41" s="49"/>
    </row>
  </sheetData>
  <sheetProtection sheet="1"/>
  <mergeCells count="5">
    <mergeCell ref="A26:C26"/>
    <mergeCell ref="B28:C28"/>
    <mergeCell ref="B3:E3"/>
    <mergeCell ref="A22:C22"/>
    <mergeCell ref="B24:C24"/>
  </mergeCells>
  <phoneticPr fontId="9" type="noConversion"/>
  <pageMargins left="0.75" right="0.75" top="1" bottom="1" header="0.5" footer="0.5"/>
  <pageSetup scale="91" orientation="portrait" blackAndWhite="1" r:id="rId1"/>
  <headerFooter alignWithMargins="0">
    <oddHeader>&amp;RState of Kansas
City</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3137F-80DB-409F-B8E9-DDF53182350D}">
  <dimension ref="A1:H14"/>
  <sheetViews>
    <sheetView workbookViewId="0">
      <selection activeCell="I27" sqref="I27"/>
    </sheetView>
  </sheetViews>
  <sheetFormatPr defaultRowHeight="15" x14ac:dyDescent="0.2"/>
  <sheetData>
    <row r="1" spans="1:8" ht="15.75" x14ac:dyDescent="0.25">
      <c r="A1" s="955" t="s">
        <v>1002</v>
      </c>
      <c r="B1" s="955"/>
      <c r="C1" s="955"/>
      <c r="D1" s="955"/>
      <c r="E1" s="955"/>
      <c r="F1" s="955"/>
      <c r="G1" s="955"/>
      <c r="H1" s="955"/>
    </row>
    <row r="2" spans="1:8" ht="15.75" x14ac:dyDescent="0.25">
      <c r="A2" s="1"/>
      <c r="B2" s="1"/>
      <c r="C2" s="1"/>
      <c r="D2" s="1"/>
      <c r="E2" s="1"/>
      <c r="F2" s="1"/>
      <c r="G2" s="1"/>
      <c r="H2" s="1"/>
    </row>
    <row r="3" spans="1:8" ht="52.5" customHeight="1" x14ac:dyDescent="0.25">
      <c r="A3" s="956" t="s">
        <v>1003</v>
      </c>
      <c r="B3" s="956"/>
      <c r="C3" s="956"/>
      <c r="D3" s="956"/>
      <c r="E3" s="956"/>
      <c r="F3" s="956"/>
      <c r="G3" s="956"/>
      <c r="H3" s="956"/>
    </row>
    <row r="4" spans="1:8" ht="15.75" x14ac:dyDescent="0.25">
      <c r="A4" s="1"/>
      <c r="B4" s="1"/>
      <c r="C4" s="1"/>
      <c r="D4" s="1"/>
      <c r="E4" s="1"/>
      <c r="F4" s="1"/>
      <c r="G4" s="1"/>
      <c r="H4" s="1"/>
    </row>
    <row r="5" spans="1:8" ht="52.5" customHeight="1" x14ac:dyDescent="0.25">
      <c r="A5" s="777"/>
      <c r="B5" s="957" t="s">
        <v>1004</v>
      </c>
      <c r="C5" s="957"/>
      <c r="D5" s="957"/>
      <c r="E5" s="957"/>
      <c r="F5" s="957"/>
      <c r="G5" s="957"/>
      <c r="H5" s="957"/>
    </row>
    <row r="6" spans="1:8" ht="15.75" x14ac:dyDescent="0.25">
      <c r="A6" s="1"/>
      <c r="B6" s="1"/>
      <c r="C6" s="1"/>
      <c r="D6" s="1"/>
      <c r="E6" s="1"/>
      <c r="F6" s="1"/>
      <c r="G6" s="1"/>
      <c r="H6" s="1"/>
    </row>
    <row r="7" spans="1:8" ht="32.25" customHeight="1" x14ac:dyDescent="0.25">
      <c r="A7" s="777"/>
      <c r="B7" s="957" t="s">
        <v>1005</v>
      </c>
      <c r="C7" s="957"/>
      <c r="D7" s="957"/>
      <c r="E7" s="957"/>
      <c r="F7" s="957"/>
      <c r="G7" s="957"/>
      <c r="H7" s="957"/>
    </row>
    <row r="8" spans="1:8" ht="15.75" x14ac:dyDescent="0.25">
      <c r="A8" s="1"/>
      <c r="B8" s="1"/>
      <c r="C8" s="1"/>
      <c r="D8" s="1"/>
      <c r="E8" s="1"/>
      <c r="F8" s="1"/>
      <c r="G8" s="1"/>
      <c r="H8" s="1"/>
    </row>
    <row r="9" spans="1:8" ht="15.75" x14ac:dyDescent="0.25">
      <c r="A9" s="958" t="s">
        <v>1006</v>
      </c>
      <c r="B9" s="958"/>
      <c r="C9" s="958"/>
      <c r="D9" s="958"/>
      <c r="E9" s="958"/>
      <c r="F9" s="958"/>
      <c r="G9" s="958"/>
      <c r="H9" s="958"/>
    </row>
    <row r="10" spans="1:8" ht="15.75" x14ac:dyDescent="0.25">
      <c r="A10" s="1"/>
      <c r="B10" s="1"/>
      <c r="C10" s="1"/>
      <c r="D10" s="1"/>
      <c r="E10" s="1"/>
      <c r="F10" s="1"/>
      <c r="G10" s="1"/>
      <c r="H10" s="1"/>
    </row>
    <row r="11" spans="1:8" ht="15.75" x14ac:dyDescent="0.25">
      <c r="A11" s="1"/>
      <c r="B11" s="1"/>
      <c r="C11" s="1"/>
      <c r="D11" s="1"/>
      <c r="E11" s="1"/>
      <c r="F11" s="1"/>
      <c r="G11" s="1"/>
      <c r="H11" s="1"/>
    </row>
    <row r="12" spans="1:8" ht="15.75" x14ac:dyDescent="0.25">
      <c r="A12" s="1"/>
      <c r="B12" s="1"/>
      <c r="C12" s="1"/>
      <c r="D12" s="1"/>
      <c r="E12" s="1"/>
      <c r="F12" s="1"/>
      <c r="G12" s="1"/>
      <c r="H12" s="1"/>
    </row>
    <row r="13" spans="1:8" ht="15.75" x14ac:dyDescent="0.25">
      <c r="A13" s="1" t="s">
        <v>1007</v>
      </c>
      <c r="B13" s="1"/>
      <c r="C13" s="1"/>
      <c r="D13" s="1"/>
      <c r="E13" s="1"/>
      <c r="F13" s="777"/>
      <c r="G13" s="777"/>
      <c r="H13" s="777"/>
    </row>
    <row r="14" spans="1:8" ht="15.75" x14ac:dyDescent="0.25">
      <c r="A14" s="1"/>
      <c r="B14" s="1"/>
      <c r="C14" s="1"/>
      <c r="D14" s="1"/>
      <c r="E14" s="1"/>
      <c r="F14" s="1" t="s">
        <v>1008</v>
      </c>
    </row>
  </sheetData>
  <sheetProtection sheet="1" objects="1" scenarios="1"/>
  <mergeCells count="5">
    <mergeCell ref="A1:H1"/>
    <mergeCell ref="A3:H3"/>
    <mergeCell ref="B5:H5"/>
    <mergeCell ref="B7:H7"/>
    <mergeCell ref="A9:H9"/>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52FAB-3E23-4B30-9AB5-2F9961CE2DFA}">
  <dimension ref="A1:G16"/>
  <sheetViews>
    <sheetView workbookViewId="0">
      <selection activeCell="I27" sqref="I27"/>
    </sheetView>
  </sheetViews>
  <sheetFormatPr defaultRowHeight="15.75" x14ac:dyDescent="0.25"/>
  <cols>
    <col min="1" max="1" width="8.88671875" style="1"/>
    <col min="4" max="4" width="18" customWidth="1"/>
    <col min="7" max="7" width="12.77734375" customWidth="1"/>
  </cols>
  <sheetData>
    <row r="1" spans="1:7" x14ac:dyDescent="0.25">
      <c r="A1" s="958" t="s">
        <v>987</v>
      </c>
      <c r="B1" s="958"/>
      <c r="C1" s="958"/>
      <c r="D1" s="958"/>
      <c r="E1" s="958"/>
      <c r="F1" s="958"/>
      <c r="G1" s="958"/>
    </row>
    <row r="3" spans="1:7" ht="55.5" customHeight="1" x14ac:dyDescent="0.25">
      <c r="A3" s="959" t="s">
        <v>988</v>
      </c>
      <c r="B3" s="959"/>
      <c r="C3" s="959"/>
      <c r="D3" s="959"/>
      <c r="E3" s="959"/>
      <c r="F3" s="959"/>
      <c r="G3" s="959"/>
    </row>
    <row r="4" spans="1:7" ht="55.5" customHeight="1" x14ac:dyDescent="0.25">
      <c r="A4" s="960" t="s">
        <v>989</v>
      </c>
      <c r="B4" s="960"/>
      <c r="C4" s="960"/>
      <c r="D4" s="960"/>
      <c r="E4" s="960"/>
      <c r="F4" s="960"/>
      <c r="G4" s="960"/>
    </row>
    <row r="5" spans="1:7" ht="55.5" customHeight="1" x14ac:dyDescent="0.25">
      <c r="A5" s="960" t="s">
        <v>990</v>
      </c>
      <c r="B5" s="960"/>
      <c r="C5" s="960"/>
      <c r="D5" s="960"/>
      <c r="E5" s="960"/>
      <c r="F5" s="960"/>
      <c r="G5" s="960"/>
    </row>
    <row r="6" spans="1:7" ht="55.5" customHeight="1" x14ac:dyDescent="0.25">
      <c r="A6" s="960" t="s">
        <v>991</v>
      </c>
      <c r="B6" s="960"/>
      <c r="C6" s="960"/>
      <c r="D6" s="960"/>
      <c r="E6" s="960"/>
      <c r="F6" s="960"/>
      <c r="G6" s="960"/>
    </row>
    <row r="7" spans="1:7" ht="55.5" customHeight="1" x14ac:dyDescent="0.25">
      <c r="A7" s="960" t="s">
        <v>992</v>
      </c>
      <c r="B7" s="960"/>
      <c r="C7" s="960"/>
      <c r="D7" s="960"/>
      <c r="E7" s="960"/>
      <c r="F7" s="960"/>
      <c r="G7" s="960"/>
    </row>
    <row r="8" spans="1:7" ht="55.5" customHeight="1" x14ac:dyDescent="0.25">
      <c r="A8" s="959" t="s">
        <v>993</v>
      </c>
      <c r="B8" s="959"/>
      <c r="C8" s="959"/>
      <c r="D8" s="959"/>
      <c r="E8" s="959"/>
      <c r="F8" s="959"/>
      <c r="G8" s="959"/>
    </row>
    <row r="9" spans="1:7" ht="55.5" customHeight="1" x14ac:dyDescent="0.25">
      <c r="A9" s="960" t="s">
        <v>994</v>
      </c>
      <c r="B9" s="960"/>
      <c r="C9" s="960"/>
      <c r="D9" s="960"/>
      <c r="E9" s="960"/>
      <c r="F9" s="960"/>
      <c r="G9" s="960"/>
    </row>
    <row r="10" spans="1:7" ht="55.5" customHeight="1" x14ac:dyDescent="0.25">
      <c r="A10" s="960" t="s">
        <v>995</v>
      </c>
      <c r="B10" s="960"/>
      <c r="C10" s="960"/>
      <c r="D10" s="960"/>
      <c r="E10" s="960"/>
      <c r="F10" s="960"/>
      <c r="G10" s="960"/>
    </row>
    <row r="11" spans="1:7" ht="55.5" customHeight="1" x14ac:dyDescent="0.25">
      <c r="A11" s="960" t="s">
        <v>996</v>
      </c>
      <c r="B11" s="960"/>
      <c r="C11" s="960"/>
      <c r="D11" s="960"/>
      <c r="E11" s="960"/>
      <c r="F11" s="960"/>
      <c r="G11" s="960"/>
    </row>
    <row r="12" spans="1:7" x14ac:dyDescent="0.25">
      <c r="A12" s="957" t="s">
        <v>997</v>
      </c>
      <c r="B12" s="957"/>
      <c r="C12" s="957"/>
      <c r="D12" s="957"/>
      <c r="E12" s="957"/>
      <c r="F12" s="957"/>
      <c r="G12" s="957"/>
    </row>
    <row r="13" spans="1:7" x14ac:dyDescent="0.25">
      <c r="A13" s="957" t="s">
        <v>998</v>
      </c>
      <c r="B13" s="957"/>
      <c r="C13" s="957"/>
      <c r="D13" s="957"/>
      <c r="E13" s="957"/>
      <c r="F13" s="957"/>
      <c r="G13" s="957"/>
    </row>
    <row r="14" spans="1:7" x14ac:dyDescent="0.25">
      <c r="A14" s="957" t="s">
        <v>999</v>
      </c>
      <c r="B14" s="957"/>
      <c r="C14" s="957"/>
      <c r="D14" s="957"/>
      <c r="E14" s="957"/>
      <c r="F14" s="957"/>
      <c r="G14" s="957"/>
    </row>
    <row r="15" spans="1:7" x14ac:dyDescent="0.25">
      <c r="A15" s="957" t="s">
        <v>1000</v>
      </c>
      <c r="B15" s="957"/>
      <c r="C15" s="957"/>
      <c r="D15" s="957"/>
      <c r="E15" s="957"/>
      <c r="F15" s="957"/>
      <c r="G15" s="957"/>
    </row>
    <row r="16" spans="1:7" x14ac:dyDescent="0.25">
      <c r="A16" s="957" t="s">
        <v>1001</v>
      </c>
      <c r="B16" s="957"/>
      <c r="C16" s="957"/>
      <c r="D16" s="957"/>
      <c r="E16" s="957"/>
      <c r="F16" s="957"/>
      <c r="G16" s="957"/>
    </row>
  </sheetData>
  <sheetProtection sheet="1" objects="1" scenarios="1"/>
  <mergeCells count="15">
    <mergeCell ref="A7:G7"/>
    <mergeCell ref="A1:G1"/>
    <mergeCell ref="A3:G3"/>
    <mergeCell ref="A4:G4"/>
    <mergeCell ref="A5:G5"/>
    <mergeCell ref="A6:G6"/>
    <mergeCell ref="A14:G14"/>
    <mergeCell ref="A15:G15"/>
    <mergeCell ref="A16:G16"/>
    <mergeCell ref="A8:G8"/>
    <mergeCell ref="A9:G9"/>
    <mergeCell ref="A10:G10"/>
    <mergeCell ref="A11:G11"/>
    <mergeCell ref="A12:G12"/>
    <mergeCell ref="A13:G13"/>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6">
    <tabColor rgb="FFFF0000"/>
  </sheetPr>
  <dimension ref="A1:L85"/>
  <sheetViews>
    <sheetView workbookViewId="0">
      <selection activeCell="I27" sqref="I27"/>
    </sheetView>
  </sheetViews>
  <sheetFormatPr defaultRowHeight="15.75" x14ac:dyDescent="0.25"/>
  <cols>
    <col min="1" max="1" width="71.33203125" style="1" customWidth="1"/>
  </cols>
  <sheetData>
    <row r="1" spans="1:12" ht="20.25" x14ac:dyDescent="0.2">
      <c r="A1" s="780" t="s">
        <v>1011</v>
      </c>
    </row>
    <row r="3" spans="1:12" x14ac:dyDescent="0.25">
      <c r="A3" s="778" t="s">
        <v>296</v>
      </c>
      <c r="B3" s="269"/>
      <c r="C3" s="269"/>
      <c r="D3" s="269"/>
      <c r="E3" s="269"/>
      <c r="F3" s="269"/>
      <c r="G3" s="269"/>
      <c r="H3" s="269"/>
      <c r="I3" s="269"/>
      <c r="J3" s="269"/>
      <c r="K3" s="269"/>
      <c r="L3" s="269"/>
    </row>
    <row r="5" spans="1:12" x14ac:dyDescent="0.25">
      <c r="A5" s="1" t="s">
        <v>297</v>
      </c>
    </row>
    <row r="6" spans="1:12" x14ac:dyDescent="0.25">
      <c r="A6" s="1" t="str">
        <f>CONCATENATE(inputPrYr!C6-2," 'total expenditures' exceed your ",inputPrYr!C6-2," 'budget authority.'")</f>
        <v>2021 'total expenditures' exceed your 2021 'budget authority.'</v>
      </c>
    </row>
    <row r="8" spans="1:12" x14ac:dyDescent="0.25">
      <c r="A8" s="1" t="s">
        <v>298</v>
      </c>
    </row>
    <row r="9" spans="1:12" x14ac:dyDescent="0.25">
      <c r="A9" s="1" t="s">
        <v>299</v>
      </c>
    </row>
    <row r="10" spans="1:12" x14ac:dyDescent="0.25">
      <c r="A10" s="1" t="s">
        <v>300</v>
      </c>
    </row>
    <row r="13" spans="1:12" x14ac:dyDescent="0.25">
      <c r="A13" s="779" t="s">
        <v>301</v>
      </c>
    </row>
    <row r="15" spans="1:12" x14ac:dyDescent="0.25">
      <c r="A15" s="1" t="s">
        <v>1009</v>
      </c>
    </row>
    <row r="16" spans="1:12" x14ac:dyDescent="0.25">
      <c r="A16" s="1" t="str">
        <f>CONCATENATE("(i.e. an audit has not been completed, or the ",inputPrYr!C6," adopted")</f>
        <v>(i.e. an audit has not been completed, or the 2023 adopted</v>
      </c>
    </row>
    <row r="17" spans="1:1" x14ac:dyDescent="0.25">
      <c r="A17" s="1" t="s">
        <v>302</v>
      </c>
    </row>
    <row r="18" spans="1:1" x14ac:dyDescent="0.25">
      <c r="A18" s="1" t="s">
        <v>303</v>
      </c>
    </row>
    <row r="19" spans="1:1" x14ac:dyDescent="0.25">
      <c r="A19" s="1" t="s">
        <v>304</v>
      </c>
    </row>
    <row r="21" spans="1:1" x14ac:dyDescent="0.25">
      <c r="A21" s="779" t="s">
        <v>305</v>
      </c>
    </row>
    <row r="22" spans="1:1" x14ac:dyDescent="0.25">
      <c r="A22" s="779"/>
    </row>
    <row r="23" spans="1:1" x14ac:dyDescent="0.25">
      <c r="A23" s="1" t="s">
        <v>306</v>
      </c>
    </row>
    <row r="24" spans="1:1" x14ac:dyDescent="0.25">
      <c r="A24" s="1" t="s">
        <v>307</v>
      </c>
    </row>
    <row r="25" spans="1:1" x14ac:dyDescent="0.25">
      <c r="A25" s="1" t="str">
        <f>CONCATENATE("particular fund.  If your ",inputPrYr!C6-2," budget was amended, did you")</f>
        <v>particular fund.  If your 2021 budget was amended, did you</v>
      </c>
    </row>
    <row r="26" spans="1:1" x14ac:dyDescent="0.25">
      <c r="A26" s="1" t="s">
        <v>308</v>
      </c>
    </row>
    <row r="28" spans="1:1" x14ac:dyDescent="0.25">
      <c r="A28" s="1" t="str">
        <f>CONCATENATE("Next, look to see if any of your ",inputPrYr!C6-2," expenditures can be")</f>
        <v>Next, look to see if any of your 2021 expenditures can be</v>
      </c>
    </row>
    <row r="29" spans="1:1" x14ac:dyDescent="0.25">
      <c r="A29" s="1" t="s">
        <v>309</v>
      </c>
    </row>
    <row r="30" spans="1:1" x14ac:dyDescent="0.25">
      <c r="A30" s="1" t="s">
        <v>310</v>
      </c>
    </row>
    <row r="31" spans="1:1" x14ac:dyDescent="0.25">
      <c r="A31" s="1" t="s">
        <v>311</v>
      </c>
    </row>
    <row r="33" spans="1:1" x14ac:dyDescent="0.25">
      <c r="A33" s="1" t="str">
        <f>CONCATENATE("Additionally, do your ",inputPrYr!C6-2," receipts contain a reimbursement")</f>
        <v>Additionally, do your 2021 receipts contain a reimbursement</v>
      </c>
    </row>
    <row r="34" spans="1:1" x14ac:dyDescent="0.25">
      <c r="A34" s="1" t="s">
        <v>312</v>
      </c>
    </row>
    <row r="35" spans="1:1" x14ac:dyDescent="0.25">
      <c r="A35" s="1" t="s">
        <v>1010</v>
      </c>
    </row>
    <row r="37" spans="1:1" x14ac:dyDescent="0.25">
      <c r="A37" s="1" t="s">
        <v>313</v>
      </c>
    </row>
    <row r="38" spans="1:1" x14ac:dyDescent="0.25">
      <c r="A38" s="1" t="s">
        <v>314</v>
      </c>
    </row>
    <row r="39" spans="1:1" x14ac:dyDescent="0.25">
      <c r="A39" s="1" t="s">
        <v>315</v>
      </c>
    </row>
    <row r="40" spans="1:1" x14ac:dyDescent="0.25">
      <c r="A40" s="1" t="s">
        <v>316</v>
      </c>
    </row>
    <row r="41" spans="1:1" x14ac:dyDescent="0.25">
      <c r="A41" s="1" t="s">
        <v>317</v>
      </c>
    </row>
    <row r="42" spans="1:1" x14ac:dyDescent="0.25">
      <c r="A42" s="1" t="s">
        <v>318</v>
      </c>
    </row>
    <row r="43" spans="1:1" x14ac:dyDescent="0.25">
      <c r="A43" s="1" t="s">
        <v>319</v>
      </c>
    </row>
    <row r="44" spans="1:1" x14ac:dyDescent="0.25">
      <c r="A44" s="1" t="s">
        <v>320</v>
      </c>
    </row>
    <row r="46" spans="1:1" x14ac:dyDescent="0.25">
      <c r="A46" s="1" t="s">
        <v>321</v>
      </c>
    </row>
    <row r="47" spans="1:1" x14ac:dyDescent="0.25">
      <c r="A47" s="1" t="s">
        <v>322</v>
      </c>
    </row>
    <row r="48" spans="1:1" x14ac:dyDescent="0.25">
      <c r="A48" s="1" t="s">
        <v>323</v>
      </c>
    </row>
    <row r="50" spans="1:1" x14ac:dyDescent="0.25">
      <c r="A50" s="1" t="s">
        <v>324</v>
      </c>
    </row>
    <row r="51" spans="1:1" x14ac:dyDescent="0.25">
      <c r="A51" s="1" t="s">
        <v>325</v>
      </c>
    </row>
    <row r="52" spans="1:1" x14ac:dyDescent="0.25">
      <c r="A52" s="1" t="s">
        <v>326</v>
      </c>
    </row>
    <row r="54" spans="1:1" x14ac:dyDescent="0.25">
      <c r="A54" s="779" t="s">
        <v>327</v>
      </c>
    </row>
    <row r="56" spans="1:1" x14ac:dyDescent="0.25">
      <c r="A56" s="1" t="s">
        <v>328</v>
      </c>
    </row>
    <row r="57" spans="1:1" x14ac:dyDescent="0.25">
      <c r="A57" s="1" t="s">
        <v>329</v>
      </c>
    </row>
    <row r="58" spans="1:1" x14ac:dyDescent="0.25">
      <c r="A58" s="1" t="s">
        <v>330</v>
      </c>
    </row>
    <row r="59" spans="1:1" x14ac:dyDescent="0.25">
      <c r="A59" s="1" t="s">
        <v>331</v>
      </c>
    </row>
    <row r="60" spans="1:1" x14ac:dyDescent="0.25">
      <c r="A60" s="1" t="s">
        <v>332</v>
      </c>
    </row>
    <row r="61" spans="1:1" x14ac:dyDescent="0.25">
      <c r="A61" s="1" t="s">
        <v>333</v>
      </c>
    </row>
    <row r="62" spans="1:1" x14ac:dyDescent="0.25">
      <c r="A62" s="1" t="s">
        <v>334</v>
      </c>
    </row>
    <row r="63" spans="1:1" x14ac:dyDescent="0.25">
      <c r="A63" s="1" t="s">
        <v>335</v>
      </c>
    </row>
    <row r="64" spans="1:1" x14ac:dyDescent="0.25">
      <c r="A64" s="1" t="s">
        <v>336</v>
      </c>
    </row>
    <row r="65" spans="1:1" x14ac:dyDescent="0.25">
      <c r="A65" s="1" t="s">
        <v>337</v>
      </c>
    </row>
    <row r="66" spans="1:1" x14ac:dyDescent="0.25">
      <c r="A66" s="1" t="s">
        <v>338</v>
      </c>
    </row>
    <row r="67" spans="1:1" x14ac:dyDescent="0.25">
      <c r="A67" s="1" t="s">
        <v>339</v>
      </c>
    </row>
    <row r="68" spans="1:1" x14ac:dyDescent="0.25">
      <c r="A68" s="1" t="s">
        <v>340</v>
      </c>
    </row>
    <row r="70" spans="1:1" x14ac:dyDescent="0.25">
      <c r="A70" s="1" t="s">
        <v>341</v>
      </c>
    </row>
    <row r="71" spans="1:1" x14ac:dyDescent="0.25">
      <c r="A71" s="1" t="s">
        <v>342</v>
      </c>
    </row>
    <row r="72" spans="1:1" x14ac:dyDescent="0.25">
      <c r="A72" s="1" t="s">
        <v>343</v>
      </c>
    </row>
    <row r="74" spans="1:1" x14ac:dyDescent="0.25">
      <c r="A74" s="779" t="str">
        <f>CONCATENATE("What if the ",inputPrYr!C6-2," financial records have been closed?")</f>
        <v>What if the 2021 financial records have been closed?</v>
      </c>
    </row>
    <row r="76" spans="1:1" x14ac:dyDescent="0.25">
      <c r="A76" s="1" t="s">
        <v>344</v>
      </c>
    </row>
    <row r="77" spans="1:1" x14ac:dyDescent="0.25">
      <c r="A77" s="1" t="str">
        <f>CONCATENATE("(i.e. an audit for ",inputPrYr!C6-2," has been completed, or the ",inputPrYr!C6)</f>
        <v>(i.e. an audit for 2021 has been completed, or the 2023</v>
      </c>
    </row>
    <row r="78" spans="1:1" x14ac:dyDescent="0.25">
      <c r="A78" s="1" t="s">
        <v>345</v>
      </c>
    </row>
    <row r="79" spans="1:1" x14ac:dyDescent="0.25">
      <c r="A79" s="1" t="s">
        <v>346</v>
      </c>
    </row>
    <row r="81" spans="1:1" x14ac:dyDescent="0.25">
      <c r="A81" s="1" t="s">
        <v>347</v>
      </c>
    </row>
    <row r="82" spans="1:1" x14ac:dyDescent="0.25">
      <c r="A82" s="1" t="s">
        <v>348</v>
      </c>
    </row>
    <row r="83" spans="1:1" x14ac:dyDescent="0.25">
      <c r="A83" s="1" t="s">
        <v>349</v>
      </c>
    </row>
    <row r="85" spans="1:1" x14ac:dyDescent="0.25">
      <c r="A85" s="1" t="s">
        <v>350</v>
      </c>
    </row>
  </sheetData>
  <sheetProtection sheet="1"/>
  <pageMargins left="0.7" right="0.7" top="0.75" bottom="0.75" header="0.3" footer="0.3"/>
  <pageSetup orientation="portrait" r:id="rId1"/>
  <headerFooter>
    <oddFooter>&amp;Lrevised 10/2/09</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7">
    <tabColor rgb="FFFF0000"/>
  </sheetPr>
  <dimension ref="A1:J109"/>
  <sheetViews>
    <sheetView workbookViewId="0">
      <selection activeCell="I27" sqref="I27"/>
    </sheetView>
  </sheetViews>
  <sheetFormatPr defaultRowHeight="15.75" x14ac:dyDescent="0.25"/>
  <cols>
    <col min="1" max="1" width="71.33203125" style="1" customWidth="1"/>
  </cols>
  <sheetData>
    <row r="1" spans="1:10" ht="20.25" x14ac:dyDescent="0.2">
      <c r="A1" s="780" t="s">
        <v>1013</v>
      </c>
    </row>
    <row r="3" spans="1:10" x14ac:dyDescent="0.25">
      <c r="A3" s="778" t="s">
        <v>351</v>
      </c>
      <c r="B3" s="269"/>
      <c r="C3" s="269"/>
      <c r="D3" s="269"/>
      <c r="E3" s="269"/>
      <c r="F3" s="269"/>
      <c r="G3" s="269"/>
      <c r="H3" s="272"/>
      <c r="I3" s="272"/>
      <c r="J3" s="272"/>
    </row>
    <row r="5" spans="1:10" x14ac:dyDescent="0.25">
      <c r="A5" s="1" t="s">
        <v>352</v>
      </c>
    </row>
    <row r="6" spans="1:10" x14ac:dyDescent="0.25">
      <c r="A6" s="1" t="str">
        <f>CONCATENATE(inputPrYr!C6-2," expenditures show that you finished the year with a ")</f>
        <v xml:space="preserve">2021 expenditures show that you finished the year with a </v>
      </c>
    </row>
    <row r="7" spans="1:10" x14ac:dyDescent="0.25">
      <c r="A7" s="1" t="s">
        <v>353</v>
      </c>
    </row>
    <row r="9" spans="1:10" x14ac:dyDescent="0.25">
      <c r="A9" s="1" t="s">
        <v>354</v>
      </c>
    </row>
    <row r="10" spans="1:10" x14ac:dyDescent="0.25">
      <c r="A10" s="1" t="s">
        <v>355</v>
      </c>
    </row>
    <row r="11" spans="1:10" x14ac:dyDescent="0.25">
      <c r="A11" s="1" t="s">
        <v>356</v>
      </c>
    </row>
    <row r="13" spans="1:10" x14ac:dyDescent="0.25">
      <c r="A13" s="779" t="s">
        <v>357</v>
      </c>
    </row>
    <row r="14" spans="1:10" x14ac:dyDescent="0.25">
      <c r="A14" s="779"/>
    </row>
    <row r="15" spans="1:10" x14ac:dyDescent="0.25">
      <c r="A15" s="1" t="s">
        <v>358</v>
      </c>
    </row>
    <row r="16" spans="1:10" x14ac:dyDescent="0.25">
      <c r="A16" s="1" t="s">
        <v>359</v>
      </c>
    </row>
    <row r="17" spans="1:1" x14ac:dyDescent="0.25">
      <c r="A17" s="1" t="s">
        <v>360</v>
      </c>
    </row>
    <row r="19" spans="1:1" x14ac:dyDescent="0.25">
      <c r="A19" s="779" t="s">
        <v>361</v>
      </c>
    </row>
    <row r="20" spans="1:1" x14ac:dyDescent="0.25">
      <c r="A20" s="779"/>
    </row>
    <row r="21" spans="1:1" x14ac:dyDescent="0.25">
      <c r="A21" s="1" t="s">
        <v>362</v>
      </c>
    </row>
    <row r="22" spans="1:1" x14ac:dyDescent="0.25">
      <c r="A22" s="1" t="s">
        <v>363</v>
      </c>
    </row>
    <row r="23" spans="1:1" x14ac:dyDescent="0.25">
      <c r="A23" s="1" t="s">
        <v>1012</v>
      </c>
    </row>
    <row r="25" spans="1:1" x14ac:dyDescent="0.25">
      <c r="A25" s="779" t="s">
        <v>364</v>
      </c>
    </row>
    <row r="26" spans="1:1" x14ac:dyDescent="0.25">
      <c r="A26" s="779"/>
    </row>
    <row r="27" spans="1:1" x14ac:dyDescent="0.25">
      <c r="A27" s="1" t="s">
        <v>365</v>
      </c>
    </row>
    <row r="28" spans="1:1" x14ac:dyDescent="0.25">
      <c r="A28" s="1" t="s">
        <v>366</v>
      </c>
    </row>
    <row r="29" spans="1:1" x14ac:dyDescent="0.25">
      <c r="A29" s="1" t="s">
        <v>367</v>
      </c>
    </row>
    <row r="31" spans="1:1" x14ac:dyDescent="0.25">
      <c r="A31" s="779" t="s">
        <v>368</v>
      </c>
    </row>
    <row r="32" spans="1:1" x14ac:dyDescent="0.25">
      <c r="A32" s="779"/>
    </row>
    <row r="33" spans="1:8" x14ac:dyDescent="0.25">
      <c r="A33" s="1" t="str">
        <f>CONCATENATE("If your financial records for ",inputPrYr!C6-2," are not closed")</f>
        <v>If your financial records for 2021 are not closed</v>
      </c>
      <c r="B33" s="270"/>
      <c r="C33" s="270"/>
      <c r="D33" s="270"/>
      <c r="E33" s="270"/>
      <c r="F33" s="270"/>
      <c r="G33" s="270"/>
      <c r="H33" s="270"/>
    </row>
    <row r="34" spans="1:8" x14ac:dyDescent="0.25">
      <c r="A34" s="1" t="str">
        <f>CONCATENATE("(i.e. an audit has not been completed, or the ",inputPrYr!C6," adopted ")</f>
        <v xml:space="preserve">(i.e. an audit has not been completed, or the 2023 adopted </v>
      </c>
      <c r="B34" s="270"/>
      <c r="C34" s="270"/>
      <c r="D34" s="270"/>
      <c r="E34" s="270"/>
      <c r="F34" s="270"/>
      <c r="G34" s="270"/>
      <c r="H34" s="270"/>
    </row>
    <row r="35" spans="1:8" x14ac:dyDescent="0.25">
      <c r="A35" s="1" t="s">
        <v>369</v>
      </c>
      <c r="B35" s="270"/>
      <c r="C35" s="270"/>
      <c r="D35" s="270"/>
      <c r="E35" s="270"/>
      <c r="F35" s="270"/>
      <c r="G35" s="270"/>
      <c r="H35" s="270"/>
    </row>
    <row r="36" spans="1:8" x14ac:dyDescent="0.25">
      <c r="A36" s="1" t="s">
        <v>370</v>
      </c>
      <c r="B36" s="270"/>
      <c r="C36" s="270"/>
      <c r="D36" s="270"/>
      <c r="E36" s="270"/>
      <c r="F36" s="270"/>
      <c r="G36" s="270"/>
      <c r="H36" s="270"/>
    </row>
    <row r="37" spans="1:8" x14ac:dyDescent="0.25">
      <c r="A37" s="1" t="s">
        <v>371</v>
      </c>
      <c r="B37" s="270"/>
      <c r="C37" s="270"/>
      <c r="D37" s="270"/>
      <c r="E37" s="270"/>
      <c r="F37" s="270"/>
      <c r="G37" s="270"/>
      <c r="H37" s="270"/>
    </row>
    <row r="38" spans="1:8" x14ac:dyDescent="0.25">
      <c r="A38" s="1" t="s">
        <v>372</v>
      </c>
      <c r="B38" s="270"/>
      <c r="C38" s="270"/>
      <c r="D38" s="270"/>
      <c r="E38" s="270"/>
      <c r="F38" s="270"/>
      <c r="G38" s="270"/>
      <c r="H38" s="270"/>
    </row>
    <row r="39" spans="1:8" x14ac:dyDescent="0.25">
      <c r="A39" s="1" t="s">
        <v>373</v>
      </c>
      <c r="B39" s="270"/>
      <c r="C39" s="270"/>
      <c r="D39" s="270"/>
      <c r="E39" s="270"/>
      <c r="F39" s="270"/>
      <c r="G39" s="270"/>
      <c r="H39" s="270"/>
    </row>
    <row r="40" spans="1:8" x14ac:dyDescent="0.25">
      <c r="B40" s="270"/>
      <c r="C40" s="270"/>
      <c r="D40" s="270"/>
      <c r="E40" s="270"/>
      <c r="F40" s="270"/>
      <c r="G40" s="270"/>
      <c r="H40" s="270"/>
    </row>
    <row r="41" spans="1:8" x14ac:dyDescent="0.25">
      <c r="A41" s="1" t="s">
        <v>374</v>
      </c>
      <c r="B41" s="270"/>
      <c r="C41" s="270"/>
      <c r="D41" s="270"/>
      <c r="E41" s="270"/>
      <c r="F41" s="270"/>
      <c r="G41" s="270"/>
      <c r="H41" s="270"/>
    </row>
    <row r="42" spans="1:8" x14ac:dyDescent="0.25">
      <c r="A42" s="1" t="s">
        <v>375</v>
      </c>
      <c r="B42" s="270"/>
      <c r="C42" s="270"/>
      <c r="D42" s="270"/>
      <c r="E42" s="270"/>
      <c r="F42" s="270"/>
      <c r="G42" s="270"/>
      <c r="H42" s="270"/>
    </row>
    <row r="43" spans="1:8" x14ac:dyDescent="0.25">
      <c r="A43" s="1" t="s">
        <v>376</v>
      </c>
      <c r="B43" s="270"/>
      <c r="C43" s="270"/>
      <c r="D43" s="270"/>
      <c r="E43" s="270"/>
      <c r="F43" s="270"/>
      <c r="G43" s="270"/>
      <c r="H43" s="270"/>
    </row>
    <row r="44" spans="1:8" x14ac:dyDescent="0.25">
      <c r="A44" s="1" t="s">
        <v>377</v>
      </c>
      <c r="B44" s="270"/>
      <c r="C44" s="270"/>
      <c r="D44" s="270"/>
      <c r="E44" s="270"/>
      <c r="F44" s="270"/>
      <c r="G44" s="270"/>
      <c r="H44" s="270"/>
    </row>
    <row r="45" spans="1:8" x14ac:dyDescent="0.25">
      <c r="B45" s="270"/>
      <c r="C45" s="270"/>
      <c r="D45" s="270"/>
      <c r="E45" s="270"/>
      <c r="F45" s="270"/>
      <c r="G45" s="270"/>
      <c r="H45" s="270"/>
    </row>
    <row r="46" spans="1:8" x14ac:dyDescent="0.25">
      <c r="A46" s="1" t="s">
        <v>378</v>
      </c>
      <c r="B46" s="270"/>
      <c r="C46" s="270"/>
      <c r="D46" s="270"/>
      <c r="E46" s="270"/>
      <c r="F46" s="270"/>
      <c r="G46" s="270"/>
      <c r="H46" s="270"/>
    </row>
    <row r="47" spans="1:8" x14ac:dyDescent="0.25">
      <c r="A47" s="1" t="s">
        <v>379</v>
      </c>
      <c r="B47" s="270"/>
      <c r="C47" s="270"/>
      <c r="D47" s="270"/>
      <c r="E47" s="270"/>
      <c r="F47" s="270"/>
      <c r="G47" s="270"/>
      <c r="H47" s="270"/>
    </row>
    <row r="48" spans="1:8" x14ac:dyDescent="0.25">
      <c r="A48" s="1" t="s">
        <v>380</v>
      </c>
      <c r="B48" s="270"/>
      <c r="C48" s="270"/>
      <c r="D48" s="270"/>
      <c r="E48" s="270"/>
      <c r="F48" s="270"/>
      <c r="G48" s="270"/>
      <c r="H48" s="270"/>
    </row>
    <row r="49" spans="1:8" x14ac:dyDescent="0.25">
      <c r="A49" s="1" t="s">
        <v>381</v>
      </c>
      <c r="B49" s="270"/>
      <c r="C49" s="270"/>
      <c r="D49" s="270"/>
      <c r="E49" s="270"/>
      <c r="F49" s="270"/>
      <c r="G49" s="270"/>
      <c r="H49" s="270"/>
    </row>
    <row r="50" spans="1:8" x14ac:dyDescent="0.25">
      <c r="A50" s="1" t="s">
        <v>382</v>
      </c>
      <c r="B50" s="270"/>
      <c r="C50" s="270"/>
      <c r="D50" s="270"/>
      <c r="E50" s="270"/>
      <c r="F50" s="270"/>
      <c r="G50" s="270"/>
      <c r="H50" s="270"/>
    </row>
    <row r="51" spans="1:8" x14ac:dyDescent="0.25">
      <c r="B51" s="270"/>
      <c r="C51" s="270"/>
      <c r="D51" s="270"/>
      <c r="E51" s="270"/>
      <c r="F51" s="270"/>
      <c r="G51" s="270"/>
      <c r="H51" s="270"/>
    </row>
    <row r="52" spans="1:8" x14ac:dyDescent="0.25">
      <c r="A52" s="779" t="s">
        <v>383</v>
      </c>
      <c r="B52" s="271"/>
      <c r="C52" s="271"/>
      <c r="D52" s="271"/>
      <c r="E52" s="271"/>
      <c r="F52" s="271"/>
      <c r="G52" s="271"/>
      <c r="H52" s="270"/>
    </row>
    <row r="53" spans="1:8" x14ac:dyDescent="0.25">
      <c r="A53" s="779" t="s">
        <v>384</v>
      </c>
      <c r="B53" s="271"/>
      <c r="C53" s="271"/>
      <c r="D53" s="271"/>
      <c r="E53" s="271"/>
      <c r="F53" s="271"/>
      <c r="G53" s="271"/>
      <c r="H53" s="270"/>
    </row>
    <row r="54" spans="1:8" x14ac:dyDescent="0.25">
      <c r="B54" s="270"/>
      <c r="C54" s="270"/>
      <c r="D54" s="270"/>
      <c r="E54" s="270"/>
      <c r="F54" s="270"/>
      <c r="G54" s="270"/>
      <c r="H54" s="270"/>
    </row>
    <row r="55" spans="1:8" x14ac:dyDescent="0.25">
      <c r="A55" s="1" t="s">
        <v>385</v>
      </c>
      <c r="B55" s="270"/>
      <c r="C55" s="270"/>
      <c r="D55" s="270"/>
      <c r="E55" s="270"/>
      <c r="F55" s="270"/>
      <c r="G55" s="270"/>
      <c r="H55" s="270"/>
    </row>
    <row r="56" spans="1:8" x14ac:dyDescent="0.25">
      <c r="A56" s="1" t="s">
        <v>386</v>
      </c>
      <c r="B56" s="270"/>
      <c r="C56" s="270"/>
      <c r="D56" s="270"/>
      <c r="E56" s="270"/>
      <c r="F56" s="270"/>
      <c r="G56" s="270"/>
      <c r="H56" s="270"/>
    </row>
    <row r="57" spans="1:8" x14ac:dyDescent="0.25">
      <c r="A57" s="1" t="s">
        <v>387</v>
      </c>
      <c r="B57" s="270"/>
      <c r="C57" s="270"/>
      <c r="D57" s="270"/>
      <c r="E57" s="270"/>
      <c r="F57" s="270"/>
      <c r="G57" s="270"/>
      <c r="H57" s="270"/>
    </row>
    <row r="58" spans="1:8" x14ac:dyDescent="0.25">
      <c r="A58" s="1" t="s">
        <v>388</v>
      </c>
      <c r="B58" s="270"/>
      <c r="C58" s="270"/>
      <c r="D58" s="270"/>
      <c r="E58" s="270"/>
      <c r="F58" s="270"/>
      <c r="G58" s="270"/>
      <c r="H58" s="270"/>
    </row>
    <row r="59" spans="1:8" x14ac:dyDescent="0.25">
      <c r="B59" s="270"/>
      <c r="C59" s="270"/>
      <c r="D59" s="270"/>
      <c r="E59" s="270"/>
      <c r="F59" s="270"/>
      <c r="G59" s="270"/>
      <c r="H59" s="270"/>
    </row>
    <row r="60" spans="1:8" x14ac:dyDescent="0.25">
      <c r="A60" s="1" t="s">
        <v>389</v>
      </c>
      <c r="B60" s="270"/>
      <c r="C60" s="270"/>
      <c r="D60" s="270"/>
      <c r="E60" s="270"/>
      <c r="F60" s="270"/>
      <c r="G60" s="270"/>
      <c r="H60" s="270"/>
    </row>
    <row r="61" spans="1:8" x14ac:dyDescent="0.25">
      <c r="A61" s="1" t="s">
        <v>390</v>
      </c>
      <c r="B61" s="270"/>
      <c r="C61" s="270"/>
      <c r="D61" s="270"/>
      <c r="E61" s="270"/>
      <c r="F61" s="270"/>
      <c r="G61" s="270"/>
      <c r="H61" s="270"/>
    </row>
    <row r="62" spans="1:8" x14ac:dyDescent="0.25">
      <c r="A62" s="1" t="s">
        <v>391</v>
      </c>
      <c r="B62" s="270"/>
      <c r="C62" s="270"/>
      <c r="D62" s="270"/>
      <c r="E62" s="270"/>
      <c r="F62" s="270"/>
      <c r="G62" s="270"/>
      <c r="H62" s="270"/>
    </row>
    <row r="63" spans="1:8" x14ac:dyDescent="0.25">
      <c r="A63" s="1" t="s">
        <v>392</v>
      </c>
      <c r="B63" s="270"/>
      <c r="C63" s="270"/>
      <c r="D63" s="270"/>
      <c r="E63" s="270"/>
      <c r="F63" s="270"/>
      <c r="G63" s="270"/>
      <c r="H63" s="270"/>
    </row>
    <row r="64" spans="1:8" x14ac:dyDescent="0.25">
      <c r="A64" s="1" t="s">
        <v>393</v>
      </c>
      <c r="B64" s="270"/>
      <c r="C64" s="270"/>
      <c r="D64" s="270"/>
      <c r="E64" s="270"/>
      <c r="F64" s="270"/>
      <c r="G64" s="270"/>
      <c r="H64" s="270"/>
    </row>
    <row r="65" spans="1:8" x14ac:dyDescent="0.25">
      <c r="A65" s="1" t="s">
        <v>394</v>
      </c>
      <c r="B65" s="270"/>
      <c r="C65" s="270"/>
      <c r="D65" s="270"/>
      <c r="E65" s="270"/>
      <c r="F65" s="270"/>
      <c r="G65" s="270"/>
      <c r="H65" s="270"/>
    </row>
    <row r="66" spans="1:8" x14ac:dyDescent="0.25">
      <c r="B66" s="270"/>
      <c r="C66" s="270"/>
      <c r="D66" s="270"/>
      <c r="E66" s="270"/>
      <c r="F66" s="270"/>
      <c r="G66" s="270"/>
      <c r="H66" s="270"/>
    </row>
    <row r="67" spans="1:8" x14ac:dyDescent="0.25">
      <c r="A67" s="1" t="s">
        <v>395</v>
      </c>
      <c r="B67" s="270"/>
      <c r="C67" s="270"/>
      <c r="D67" s="270"/>
      <c r="E67" s="270"/>
      <c r="F67" s="270"/>
      <c r="G67" s="270"/>
      <c r="H67" s="270"/>
    </row>
    <row r="68" spans="1:8" x14ac:dyDescent="0.25">
      <c r="A68" s="1" t="s">
        <v>396</v>
      </c>
      <c r="B68" s="270"/>
      <c r="C68" s="270"/>
      <c r="D68" s="270"/>
      <c r="E68" s="270"/>
      <c r="F68" s="270"/>
      <c r="G68" s="270"/>
      <c r="H68" s="270"/>
    </row>
    <row r="69" spans="1:8" x14ac:dyDescent="0.25">
      <c r="A69" s="1" t="s">
        <v>397</v>
      </c>
      <c r="B69" s="270"/>
      <c r="C69" s="270"/>
      <c r="D69" s="270"/>
      <c r="E69" s="270"/>
      <c r="F69" s="270"/>
      <c r="G69" s="270"/>
      <c r="H69" s="270"/>
    </row>
    <row r="70" spans="1:8" x14ac:dyDescent="0.25">
      <c r="A70" s="1" t="s">
        <v>398</v>
      </c>
      <c r="B70" s="270"/>
      <c r="C70" s="270"/>
      <c r="D70" s="270"/>
      <c r="E70" s="270"/>
      <c r="F70" s="270"/>
      <c r="G70" s="270"/>
      <c r="H70" s="270"/>
    </row>
    <row r="71" spans="1:8" x14ac:dyDescent="0.25">
      <c r="A71" s="1" t="s">
        <v>399</v>
      </c>
      <c r="B71" s="270"/>
      <c r="C71" s="270"/>
      <c r="D71" s="270"/>
      <c r="E71" s="270"/>
      <c r="F71" s="270"/>
      <c r="G71" s="270"/>
      <c r="H71" s="270"/>
    </row>
    <row r="72" spans="1:8" x14ac:dyDescent="0.25">
      <c r="A72" s="1" t="s">
        <v>400</v>
      </c>
      <c r="B72" s="270"/>
      <c r="C72" s="270"/>
      <c r="D72" s="270"/>
      <c r="E72" s="270"/>
      <c r="F72" s="270"/>
      <c r="G72" s="270"/>
      <c r="H72" s="270"/>
    </row>
    <row r="73" spans="1:8" x14ac:dyDescent="0.25">
      <c r="A73" s="1" t="s">
        <v>401</v>
      </c>
      <c r="B73" s="270"/>
      <c r="C73" s="270"/>
      <c r="D73" s="270"/>
      <c r="E73" s="270"/>
      <c r="F73" s="270"/>
      <c r="G73" s="270"/>
      <c r="H73" s="270"/>
    </row>
    <row r="74" spans="1:8" x14ac:dyDescent="0.25">
      <c r="B74" s="270"/>
      <c r="C74" s="270"/>
      <c r="D74" s="270"/>
      <c r="E74" s="270"/>
      <c r="F74" s="270"/>
      <c r="G74" s="270"/>
      <c r="H74" s="270"/>
    </row>
    <row r="75" spans="1:8" x14ac:dyDescent="0.25">
      <c r="A75" s="1" t="s">
        <v>402</v>
      </c>
      <c r="B75" s="270"/>
      <c r="C75" s="270"/>
      <c r="D75" s="270"/>
      <c r="E75" s="270"/>
      <c r="F75" s="270"/>
      <c r="G75" s="270"/>
      <c r="H75" s="270"/>
    </row>
    <row r="76" spans="1:8" x14ac:dyDescent="0.25">
      <c r="A76" s="1" t="s">
        <v>403</v>
      </c>
      <c r="B76" s="270"/>
      <c r="C76" s="270"/>
      <c r="D76" s="270"/>
      <c r="E76" s="270"/>
      <c r="F76" s="270"/>
      <c r="G76" s="270"/>
      <c r="H76" s="270"/>
    </row>
    <row r="77" spans="1:8" x14ac:dyDescent="0.25">
      <c r="A77" s="1" t="s">
        <v>404</v>
      </c>
      <c r="B77" s="270"/>
      <c r="C77" s="270"/>
      <c r="D77" s="270"/>
      <c r="E77" s="270"/>
      <c r="F77" s="270"/>
      <c r="G77" s="270"/>
      <c r="H77" s="270"/>
    </row>
    <row r="78" spans="1:8" x14ac:dyDescent="0.25">
      <c r="B78" s="270"/>
      <c r="C78" s="270"/>
      <c r="D78" s="270"/>
      <c r="E78" s="270"/>
      <c r="F78" s="270"/>
      <c r="G78" s="270"/>
      <c r="H78" s="270"/>
    </row>
    <row r="79" spans="1:8" x14ac:dyDescent="0.25">
      <c r="A79" s="1" t="s">
        <v>350</v>
      </c>
    </row>
    <row r="80" spans="1:8" x14ac:dyDescent="0.25">
      <c r="A80" s="779"/>
    </row>
    <row r="107" spans="1:1" x14ac:dyDescent="0.25">
      <c r="A107" s="779"/>
    </row>
    <row r="108" spans="1:1" x14ac:dyDescent="0.25">
      <c r="A108" s="779"/>
    </row>
    <row r="109" spans="1:1" x14ac:dyDescent="0.25">
      <c r="A109" s="779"/>
    </row>
  </sheetData>
  <sheetProtection sheet="1"/>
  <pageMargins left="0.7" right="0.7" top="0.75" bottom="0.75" header="0.3" footer="0.3"/>
  <pageSetup orientation="portrait" r:id="rId1"/>
  <headerFooter>
    <oddFooter>&amp;Lrevised 10/2/09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019C5-D60D-4F84-B7C1-A870098D440F}">
  <sheetPr>
    <pageSetUpPr fitToPage="1"/>
  </sheetPr>
  <dimension ref="A1:N49"/>
  <sheetViews>
    <sheetView topLeftCell="A7" zoomScale="80" zoomScaleNormal="80" workbookViewId="0">
      <selection activeCell="T29" sqref="T29"/>
    </sheetView>
  </sheetViews>
  <sheetFormatPr defaultRowHeight="15.75" x14ac:dyDescent="0.25"/>
  <cols>
    <col min="1" max="1" width="17.21875" customWidth="1"/>
    <col min="2" max="2" width="16.109375" customWidth="1"/>
    <col min="8" max="8" width="12.6640625" style="1" customWidth="1"/>
    <col min="9" max="9" width="12.44140625" style="1" customWidth="1"/>
    <col min="10" max="11" width="8.88671875" style="1"/>
  </cols>
  <sheetData>
    <row r="1" spans="1:14" ht="15" x14ac:dyDescent="0.2">
      <c r="A1" s="830" t="s">
        <v>953</v>
      </c>
      <c r="B1" s="830"/>
      <c r="C1" s="830"/>
      <c r="D1" s="830"/>
      <c r="E1" s="830"/>
      <c r="F1" s="830"/>
      <c r="H1" s="831" t="s">
        <v>954</v>
      </c>
      <c r="I1" s="831"/>
      <c r="J1" s="831"/>
      <c r="K1" s="831"/>
    </row>
    <row r="2" spans="1:14" ht="20.25" customHeight="1" x14ac:dyDescent="0.2">
      <c r="A2" s="830"/>
      <c r="B2" s="830"/>
      <c r="C2" s="830"/>
      <c r="D2" s="830"/>
      <c r="E2" s="830"/>
      <c r="F2" s="830"/>
      <c r="H2" s="831"/>
      <c r="I2" s="831"/>
      <c r="J2" s="831"/>
      <c r="K2" s="831"/>
    </row>
    <row r="3" spans="1:14" ht="18" customHeight="1" x14ac:dyDescent="0.2">
      <c r="A3" s="832" t="s">
        <v>955</v>
      </c>
      <c r="B3" s="832"/>
      <c r="C3" s="832"/>
      <c r="D3" s="832"/>
      <c r="E3" s="832"/>
      <c r="F3" s="832"/>
      <c r="H3" s="569" t="s">
        <v>520</v>
      </c>
      <c r="I3" s="833" t="s">
        <v>524</v>
      </c>
      <c r="J3" s="834"/>
      <c r="K3" s="835"/>
    </row>
    <row r="4" spans="1:14" ht="18" customHeight="1" x14ac:dyDescent="0.25">
      <c r="A4" s="832"/>
      <c r="B4" s="832"/>
      <c r="C4" s="832"/>
      <c r="D4" s="832"/>
      <c r="E4" s="832"/>
      <c r="F4" s="832"/>
      <c r="H4" s="569"/>
      <c r="I4" s="569"/>
    </row>
    <row r="5" spans="1:14" ht="18" customHeight="1" x14ac:dyDescent="0.2">
      <c r="A5" s="832"/>
      <c r="B5" s="832"/>
      <c r="C5" s="832"/>
      <c r="D5" s="832"/>
      <c r="E5" s="832"/>
      <c r="F5" s="832"/>
      <c r="H5" s="569" t="s">
        <v>290</v>
      </c>
      <c r="I5" s="833" t="s">
        <v>956</v>
      </c>
      <c r="J5" s="834"/>
      <c r="K5" s="835"/>
    </row>
    <row r="6" spans="1:14" ht="18" customHeight="1" x14ac:dyDescent="0.25">
      <c r="A6" s="832"/>
      <c r="B6" s="832"/>
      <c r="C6" s="832"/>
      <c r="D6" s="832"/>
      <c r="E6" s="832"/>
      <c r="F6" s="832"/>
      <c r="H6" s="569"/>
      <c r="I6" s="569"/>
    </row>
    <row r="7" spans="1:14" ht="18" customHeight="1" x14ac:dyDescent="0.2">
      <c r="A7" s="832"/>
      <c r="B7" s="832"/>
      <c r="C7" s="832"/>
      <c r="D7" s="832"/>
      <c r="E7" s="832"/>
      <c r="F7" s="832"/>
      <c r="H7" s="569" t="s">
        <v>291</v>
      </c>
      <c r="I7" s="833" t="s">
        <v>294</v>
      </c>
      <c r="J7" s="834"/>
      <c r="K7" s="835"/>
    </row>
    <row r="8" spans="1:14" ht="18" customHeight="1" x14ac:dyDescent="0.25">
      <c r="A8" s="832"/>
      <c r="B8" s="832"/>
      <c r="C8" s="832"/>
      <c r="D8" s="832"/>
      <c r="E8" s="832"/>
      <c r="F8" s="832"/>
      <c r="H8" s="569"/>
      <c r="I8" s="569"/>
    </row>
    <row r="9" spans="1:14" ht="18" customHeight="1" x14ac:dyDescent="0.2">
      <c r="A9" s="832"/>
      <c r="B9" s="832"/>
      <c r="C9" s="832"/>
      <c r="D9" s="832"/>
      <c r="E9" s="832"/>
      <c r="F9" s="832"/>
      <c r="H9" s="569" t="s">
        <v>292</v>
      </c>
      <c r="I9" s="833" t="s">
        <v>295</v>
      </c>
      <c r="J9" s="834"/>
      <c r="K9" s="835"/>
    </row>
    <row r="10" spans="1:14" ht="18" customHeight="1" x14ac:dyDescent="0.25">
      <c r="A10" s="832"/>
      <c r="B10" s="832"/>
      <c r="C10" s="832"/>
      <c r="D10" s="832"/>
      <c r="E10" s="832"/>
      <c r="F10" s="832"/>
      <c r="H10" s="569"/>
      <c r="I10" s="569"/>
    </row>
    <row r="11" spans="1:14" ht="18" customHeight="1" x14ac:dyDescent="0.2">
      <c r="A11" s="832"/>
      <c r="B11" s="832"/>
      <c r="C11" s="832"/>
      <c r="D11" s="832"/>
      <c r="E11" s="832"/>
      <c r="F11" s="832"/>
      <c r="H11" s="569" t="s">
        <v>293</v>
      </c>
      <c r="I11" s="833" t="s">
        <v>295</v>
      </c>
      <c r="J11" s="834"/>
      <c r="K11" s="835"/>
    </row>
    <row r="12" spans="1:14" ht="18" customHeight="1" x14ac:dyDescent="0.25">
      <c r="A12" s="832"/>
      <c r="B12" s="832"/>
      <c r="C12" s="832"/>
      <c r="D12" s="832"/>
      <c r="E12" s="832"/>
      <c r="F12" s="832"/>
    </row>
    <row r="13" spans="1:14" ht="21" customHeight="1" x14ac:dyDescent="0.3">
      <c r="A13" s="831" t="s">
        <v>957</v>
      </c>
      <c r="B13" s="831"/>
      <c r="C13" s="831"/>
      <c r="D13" s="831"/>
      <c r="E13" s="831"/>
      <c r="F13" s="831"/>
      <c r="G13" s="831"/>
      <c r="H13" s="831"/>
      <c r="I13" s="831"/>
      <c r="J13" s="831"/>
      <c r="K13" s="831"/>
      <c r="M13" s="746"/>
      <c r="N13" s="746"/>
    </row>
    <row r="14" spans="1:14" x14ac:dyDescent="0.25">
      <c r="A14" s="747" t="s">
        <v>725</v>
      </c>
      <c r="B14" s="833" t="s">
        <v>1060</v>
      </c>
      <c r="C14" s="834"/>
      <c r="D14" s="834"/>
      <c r="E14" s="835"/>
      <c r="H14" s="836" t="s">
        <v>958</v>
      </c>
      <c r="I14" s="836"/>
      <c r="J14" s="836"/>
      <c r="K14" s="836"/>
    </row>
    <row r="15" spans="1:14" x14ac:dyDescent="0.25">
      <c r="A15" s="747"/>
      <c r="B15" s="748"/>
      <c r="C15" s="749"/>
      <c r="D15" s="749"/>
      <c r="E15" s="749"/>
      <c r="H15" s="836"/>
      <c r="I15" s="836"/>
      <c r="J15" s="836"/>
      <c r="K15" s="836"/>
    </row>
    <row r="16" spans="1:14" x14ac:dyDescent="0.25">
      <c r="A16" s="747" t="s">
        <v>520</v>
      </c>
      <c r="B16" s="833" t="s">
        <v>1061</v>
      </c>
      <c r="C16" s="834"/>
      <c r="D16" s="834"/>
      <c r="E16" s="835"/>
      <c r="H16" s="836"/>
      <c r="I16" s="836"/>
      <c r="J16" s="836"/>
      <c r="K16" s="836"/>
    </row>
    <row r="17" spans="1:13" x14ac:dyDescent="0.25">
      <c r="A17" s="750"/>
      <c r="B17" s="751"/>
      <c r="C17" s="751"/>
      <c r="D17" s="749"/>
      <c r="E17" s="751"/>
      <c r="F17" s="547"/>
      <c r="H17" s="836"/>
      <c r="I17" s="836"/>
      <c r="J17" s="836"/>
      <c r="K17" s="836"/>
    </row>
    <row r="18" spans="1:13" x14ac:dyDescent="0.25">
      <c r="A18" s="752" t="s">
        <v>290</v>
      </c>
      <c r="B18" s="833" t="s">
        <v>1132</v>
      </c>
      <c r="C18" s="834"/>
      <c r="D18" s="834"/>
      <c r="E18" s="835"/>
      <c r="F18" s="547"/>
      <c r="H18" s="836"/>
      <c r="I18" s="836"/>
      <c r="J18" s="836"/>
      <c r="K18" s="836"/>
    </row>
    <row r="19" spans="1:13" x14ac:dyDescent="0.25">
      <c r="A19" s="753" t="s">
        <v>959</v>
      </c>
      <c r="B19" s="749"/>
      <c r="C19" s="749"/>
      <c r="D19" s="569"/>
      <c r="E19" s="751"/>
      <c r="F19" s="547"/>
      <c r="H19" s="836"/>
      <c r="I19" s="836"/>
      <c r="J19" s="836"/>
      <c r="K19" s="836"/>
    </row>
    <row r="20" spans="1:13" x14ac:dyDescent="0.25">
      <c r="A20" s="752" t="s">
        <v>291</v>
      </c>
      <c r="B20" s="833" t="s">
        <v>1131</v>
      </c>
      <c r="C20" s="834"/>
      <c r="D20" s="834"/>
      <c r="E20" s="835"/>
      <c r="F20" s="547"/>
      <c r="H20" s="836"/>
      <c r="I20" s="836"/>
      <c r="J20" s="836"/>
      <c r="K20" s="836"/>
    </row>
    <row r="21" spans="1:13" x14ac:dyDescent="0.25">
      <c r="A21" s="752"/>
      <c r="B21" s="569"/>
      <c r="C21" s="569"/>
      <c r="D21" s="569"/>
      <c r="E21" s="751"/>
      <c r="F21" s="547"/>
      <c r="H21" s="836"/>
      <c r="I21" s="836"/>
      <c r="J21" s="836"/>
      <c r="K21" s="836"/>
    </row>
    <row r="22" spans="1:13" x14ac:dyDescent="0.25">
      <c r="A22" s="752" t="s">
        <v>292</v>
      </c>
      <c r="B22" s="837" t="s">
        <v>1063</v>
      </c>
      <c r="C22" s="838"/>
      <c r="D22" s="838"/>
      <c r="E22" s="839"/>
      <c r="F22" s="547"/>
      <c r="H22" s="836"/>
      <c r="I22" s="836"/>
      <c r="J22" s="836"/>
      <c r="K22" s="836"/>
    </row>
    <row r="23" spans="1:13" x14ac:dyDescent="0.25">
      <c r="A23" s="752"/>
      <c r="B23" s="569"/>
      <c r="C23" s="569"/>
      <c r="D23" s="569"/>
      <c r="E23" s="751"/>
      <c r="F23" s="547"/>
      <c r="H23" s="836"/>
      <c r="I23" s="836"/>
      <c r="J23" s="836"/>
      <c r="K23" s="836"/>
    </row>
    <row r="24" spans="1:13" x14ac:dyDescent="0.25">
      <c r="A24" s="752" t="s">
        <v>960</v>
      </c>
      <c r="B24" s="837" t="s">
        <v>295</v>
      </c>
      <c r="C24" s="838"/>
      <c r="D24" s="838"/>
      <c r="E24" s="839"/>
      <c r="F24" s="547"/>
      <c r="H24" s="836"/>
      <c r="I24" s="836"/>
      <c r="J24" s="836"/>
      <c r="K24" s="836"/>
    </row>
    <row r="27" spans="1:13" ht="21" customHeight="1" x14ac:dyDescent="0.2">
      <c r="A27" s="831" t="s">
        <v>961</v>
      </c>
      <c r="B27" s="831"/>
      <c r="C27" s="831"/>
      <c r="D27" s="831"/>
      <c r="E27" s="831"/>
      <c r="F27" s="831"/>
      <c r="G27" s="831"/>
      <c r="H27" s="831"/>
      <c r="I27" s="831"/>
      <c r="J27" s="831"/>
      <c r="K27" s="831"/>
    </row>
    <row r="28" spans="1:13" ht="15.75" customHeight="1" x14ac:dyDescent="0.25">
      <c r="A28" s="747" t="s">
        <v>725</v>
      </c>
      <c r="B28" s="833" t="s">
        <v>1060</v>
      </c>
      <c r="C28" s="834"/>
      <c r="D28" s="834"/>
      <c r="E28" s="835"/>
      <c r="H28" s="836" t="s">
        <v>962</v>
      </c>
      <c r="I28" s="836"/>
      <c r="J28" s="836"/>
      <c r="K28" s="836"/>
      <c r="M28" t="s">
        <v>963</v>
      </c>
    </row>
    <row r="29" spans="1:13" x14ac:dyDescent="0.25">
      <c r="A29" s="747"/>
      <c r="B29" s="748"/>
      <c r="H29" s="836"/>
      <c r="I29" s="836"/>
      <c r="J29" s="836"/>
      <c r="K29" s="836"/>
    </row>
    <row r="30" spans="1:13" x14ac:dyDescent="0.25">
      <c r="A30" s="747" t="s">
        <v>520</v>
      </c>
      <c r="B30" s="833" t="s">
        <v>1061</v>
      </c>
      <c r="C30" s="834"/>
      <c r="D30" s="834"/>
      <c r="E30" s="835"/>
      <c r="H30" s="836"/>
      <c r="I30" s="836"/>
      <c r="J30" s="836"/>
      <c r="K30" s="836"/>
    </row>
    <row r="31" spans="1:13" x14ac:dyDescent="0.25">
      <c r="A31" s="750"/>
      <c r="B31" s="547"/>
      <c r="C31" s="547"/>
      <c r="E31" s="547"/>
      <c r="F31" s="547"/>
      <c r="H31" s="836"/>
      <c r="I31" s="836"/>
      <c r="J31" s="836"/>
      <c r="K31" s="836"/>
    </row>
    <row r="32" spans="1:13" x14ac:dyDescent="0.25">
      <c r="A32" s="752" t="s">
        <v>290</v>
      </c>
      <c r="B32" s="833" t="s">
        <v>1132</v>
      </c>
      <c r="C32" s="834"/>
      <c r="D32" s="834"/>
      <c r="E32" s="835"/>
      <c r="F32" s="547"/>
      <c r="H32" s="836"/>
      <c r="I32" s="836"/>
      <c r="J32" s="836"/>
      <c r="K32" s="836"/>
    </row>
    <row r="33" spans="1:11" x14ac:dyDescent="0.25">
      <c r="A33" s="753" t="s">
        <v>959</v>
      </c>
      <c r="D33" s="569"/>
      <c r="E33" s="547"/>
      <c r="F33" s="547"/>
      <c r="H33" s="836"/>
      <c r="I33" s="836"/>
      <c r="J33" s="836"/>
      <c r="K33" s="836"/>
    </row>
    <row r="34" spans="1:11" x14ac:dyDescent="0.25">
      <c r="A34" s="752" t="s">
        <v>291</v>
      </c>
      <c r="B34" s="833" t="s">
        <v>1062</v>
      </c>
      <c r="C34" s="834"/>
      <c r="D34" s="834"/>
      <c r="E34" s="835"/>
      <c r="F34" s="547"/>
      <c r="H34" s="836"/>
      <c r="I34" s="836"/>
      <c r="J34" s="836"/>
      <c r="K34" s="836"/>
    </row>
    <row r="35" spans="1:11" x14ac:dyDescent="0.25">
      <c r="A35" s="752"/>
      <c r="B35" s="569"/>
      <c r="C35" s="569"/>
      <c r="D35" s="569"/>
      <c r="E35" s="547"/>
      <c r="F35" s="547"/>
      <c r="H35" s="836"/>
      <c r="I35" s="836"/>
      <c r="J35" s="836"/>
      <c r="K35" s="836"/>
    </row>
    <row r="36" spans="1:11" x14ac:dyDescent="0.25">
      <c r="A36" s="752" t="s">
        <v>292</v>
      </c>
      <c r="B36" s="837" t="s">
        <v>1063</v>
      </c>
      <c r="C36" s="838"/>
      <c r="D36" s="838"/>
      <c r="E36" s="839"/>
      <c r="F36" s="547"/>
      <c r="H36" s="836"/>
      <c r="I36" s="836"/>
      <c r="J36" s="836"/>
      <c r="K36" s="836"/>
    </row>
    <row r="37" spans="1:11" x14ac:dyDescent="0.25">
      <c r="A37" s="752"/>
      <c r="B37" s="569"/>
      <c r="C37" s="569"/>
      <c r="D37" s="569"/>
      <c r="E37" s="547"/>
      <c r="F37" s="547"/>
      <c r="H37" s="836"/>
      <c r="I37" s="836"/>
      <c r="J37" s="836"/>
      <c r="K37" s="836"/>
    </row>
    <row r="38" spans="1:11" x14ac:dyDescent="0.25">
      <c r="A38" s="752" t="s">
        <v>960</v>
      </c>
      <c r="B38" s="837" t="s">
        <v>1064</v>
      </c>
      <c r="C38" s="838"/>
      <c r="D38" s="838"/>
      <c r="E38" s="839"/>
      <c r="F38" s="547"/>
      <c r="H38" s="836"/>
      <c r="I38" s="836"/>
      <c r="J38" s="836"/>
      <c r="K38" s="836"/>
    </row>
    <row r="39" spans="1:11" ht="15.75" customHeight="1" x14ac:dyDescent="0.2">
      <c r="H39" s="836"/>
      <c r="I39" s="836"/>
      <c r="J39" s="836"/>
      <c r="K39" s="836"/>
    </row>
    <row r="41" spans="1:11" ht="21" customHeight="1" x14ac:dyDescent="0.2">
      <c r="A41" s="831" t="s">
        <v>964</v>
      </c>
      <c r="B41" s="831"/>
      <c r="C41" s="831"/>
      <c r="D41" s="831"/>
      <c r="E41" s="831"/>
      <c r="F41" s="831"/>
      <c r="G41" s="831"/>
      <c r="H41" s="831"/>
      <c r="I41" s="831"/>
      <c r="J41" s="831"/>
      <c r="K41" s="831"/>
    </row>
    <row r="42" spans="1:11" ht="15.75" customHeight="1" x14ac:dyDescent="0.25">
      <c r="A42" s="752" t="s">
        <v>290</v>
      </c>
      <c r="B42" s="833" t="s">
        <v>1132</v>
      </c>
      <c r="C42" s="834"/>
      <c r="D42" s="834"/>
      <c r="E42" s="835"/>
      <c r="F42" s="547"/>
      <c r="H42" s="836" t="s">
        <v>965</v>
      </c>
      <c r="I42" s="836"/>
      <c r="J42" s="836"/>
      <c r="K42" s="836"/>
    </row>
    <row r="43" spans="1:11" x14ac:dyDescent="0.25">
      <c r="A43" s="753" t="s">
        <v>959</v>
      </c>
      <c r="B43" s="749"/>
      <c r="C43" s="749"/>
      <c r="D43" s="569"/>
      <c r="E43" s="751"/>
      <c r="F43" s="547"/>
      <c r="H43" s="836"/>
      <c r="I43" s="836"/>
      <c r="J43" s="836"/>
      <c r="K43" s="836"/>
    </row>
    <row r="44" spans="1:11" x14ac:dyDescent="0.25">
      <c r="A44" s="752" t="s">
        <v>291</v>
      </c>
      <c r="B44" s="833" t="s">
        <v>1131</v>
      </c>
      <c r="C44" s="834"/>
      <c r="D44" s="834"/>
      <c r="E44" s="835"/>
      <c r="F44" s="547"/>
      <c r="H44" s="836"/>
      <c r="I44" s="836"/>
      <c r="J44" s="836"/>
      <c r="K44" s="836"/>
    </row>
    <row r="45" spans="1:11" x14ac:dyDescent="0.25">
      <c r="A45" s="752"/>
      <c r="B45" s="569"/>
      <c r="C45" s="569"/>
      <c r="D45" s="569"/>
      <c r="E45" s="751"/>
      <c r="F45" s="547"/>
      <c r="H45" s="836"/>
      <c r="I45" s="836"/>
      <c r="J45" s="836"/>
      <c r="K45" s="836"/>
    </row>
    <row r="46" spans="1:11" x14ac:dyDescent="0.25">
      <c r="A46" s="752" t="s">
        <v>292</v>
      </c>
      <c r="B46" s="837" t="s">
        <v>295</v>
      </c>
      <c r="C46" s="838"/>
      <c r="D46" s="838"/>
      <c r="E46" s="839"/>
      <c r="F46" s="547"/>
      <c r="H46" s="836"/>
      <c r="I46" s="836"/>
      <c r="J46" s="836"/>
      <c r="K46" s="836"/>
    </row>
    <row r="47" spans="1:11" ht="15.75" customHeight="1" x14ac:dyDescent="0.2">
      <c r="H47" s="836"/>
      <c r="I47" s="836"/>
      <c r="J47" s="836"/>
      <c r="K47" s="836"/>
    </row>
    <row r="48" spans="1:11" ht="15.75" customHeight="1" x14ac:dyDescent="0.2">
      <c r="H48" s="836"/>
      <c r="I48" s="836"/>
      <c r="J48" s="836"/>
      <c r="K48" s="836"/>
    </row>
    <row r="49" spans="8:11" ht="15.75" customHeight="1" x14ac:dyDescent="0.2">
      <c r="H49" s="836"/>
      <c r="I49" s="836"/>
      <c r="J49" s="836"/>
      <c r="K49" s="836"/>
    </row>
  </sheetData>
  <sheetProtection sheet="1" objects="1" scenarios="1"/>
  <mergeCells count="29">
    <mergeCell ref="A41:K41"/>
    <mergeCell ref="B42:E42"/>
    <mergeCell ref="H42:K49"/>
    <mergeCell ref="B44:E44"/>
    <mergeCell ref="B46:E46"/>
    <mergeCell ref="A27:K27"/>
    <mergeCell ref="B28:E28"/>
    <mergeCell ref="H28:K39"/>
    <mergeCell ref="B30:E30"/>
    <mergeCell ref="B32:E32"/>
    <mergeCell ref="B34:E34"/>
    <mergeCell ref="B36:E36"/>
    <mergeCell ref="B38:E38"/>
    <mergeCell ref="A13:K13"/>
    <mergeCell ref="B14:E14"/>
    <mergeCell ref="H14:K24"/>
    <mergeCell ref="B16:E16"/>
    <mergeCell ref="B18:E18"/>
    <mergeCell ref="B20:E20"/>
    <mergeCell ref="B22:E22"/>
    <mergeCell ref="B24:E24"/>
    <mergeCell ref="A1:F2"/>
    <mergeCell ref="H1:K2"/>
    <mergeCell ref="A3:F12"/>
    <mergeCell ref="I3:K3"/>
    <mergeCell ref="I5:K5"/>
    <mergeCell ref="I7:K7"/>
    <mergeCell ref="I9:K9"/>
    <mergeCell ref="I11:K11"/>
  </mergeCells>
  <pageMargins left="0.7" right="0.7" top="0.75" bottom="0.75" header="0.3" footer="0.3"/>
  <pageSetup scale="51" orientation="portrait" blackAndWhite="1"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8">
    <tabColor rgb="FFFF0000"/>
  </sheetPr>
  <dimension ref="A1:L75"/>
  <sheetViews>
    <sheetView workbookViewId="0">
      <selection activeCell="I27" sqref="I27"/>
    </sheetView>
  </sheetViews>
  <sheetFormatPr defaultRowHeight="15.75" x14ac:dyDescent="0.25"/>
  <cols>
    <col min="1" max="1" width="71.33203125" style="1" customWidth="1"/>
  </cols>
  <sheetData>
    <row r="1" spans="1:12" ht="20.25" x14ac:dyDescent="0.2">
      <c r="A1" s="780" t="s">
        <v>1014</v>
      </c>
    </row>
    <row r="3" spans="1:12" x14ac:dyDescent="0.25">
      <c r="A3" s="778" t="s">
        <v>405</v>
      </c>
      <c r="B3" s="269"/>
      <c r="C3" s="269"/>
      <c r="D3" s="269"/>
      <c r="E3" s="269"/>
      <c r="F3" s="269"/>
      <c r="G3" s="269"/>
      <c r="H3" s="269"/>
      <c r="I3" s="269"/>
      <c r="J3" s="269"/>
      <c r="K3" s="269"/>
      <c r="L3" s="269"/>
    </row>
    <row r="4" spans="1:12" x14ac:dyDescent="0.25">
      <c r="A4" s="778"/>
      <c r="B4" s="269"/>
      <c r="C4" s="269"/>
      <c r="D4" s="269"/>
      <c r="E4" s="269"/>
      <c r="F4" s="269"/>
      <c r="G4" s="269"/>
      <c r="H4" s="269"/>
      <c r="I4" s="269"/>
      <c r="J4" s="269"/>
      <c r="K4" s="269"/>
      <c r="L4" s="269"/>
    </row>
    <row r="5" spans="1:12" x14ac:dyDescent="0.25">
      <c r="A5" s="1" t="s">
        <v>297</v>
      </c>
      <c r="I5" s="269"/>
      <c r="J5" s="269"/>
      <c r="K5" s="269"/>
      <c r="L5" s="269"/>
    </row>
    <row r="6" spans="1:12" x14ac:dyDescent="0.25">
      <c r="A6" s="1" t="str">
        <f>CONCATENATE("estimated ",inputPrYr!C6-1," 'total expenditures' exceed your ",inputPrYr!C6-1,"")</f>
        <v>estimated 2022 'total expenditures' exceed your 2022</v>
      </c>
      <c r="I6" s="269"/>
      <c r="J6" s="269"/>
      <c r="K6" s="269"/>
      <c r="L6" s="269"/>
    </row>
    <row r="7" spans="1:12" x14ac:dyDescent="0.25">
      <c r="A7" s="781" t="s">
        <v>406</v>
      </c>
      <c r="I7" s="269"/>
      <c r="J7" s="269"/>
      <c r="K7" s="269"/>
      <c r="L7" s="269"/>
    </row>
    <row r="8" spans="1:12" x14ac:dyDescent="0.25">
      <c r="I8" s="269"/>
      <c r="J8" s="269"/>
      <c r="K8" s="269"/>
      <c r="L8" s="269"/>
    </row>
    <row r="9" spans="1:12" x14ac:dyDescent="0.25">
      <c r="A9" s="1" t="s">
        <v>407</v>
      </c>
      <c r="I9" s="269"/>
      <c r="J9" s="269"/>
      <c r="K9" s="269"/>
      <c r="L9" s="269"/>
    </row>
    <row r="10" spans="1:12" x14ac:dyDescent="0.25">
      <c r="A10" s="1" t="s">
        <v>408</v>
      </c>
      <c r="I10" s="269"/>
      <c r="J10" s="269"/>
      <c r="K10" s="269"/>
      <c r="L10" s="269"/>
    </row>
    <row r="11" spans="1:12" x14ac:dyDescent="0.25">
      <c r="A11" s="1" t="s">
        <v>409</v>
      </c>
      <c r="I11" s="269"/>
      <c r="J11" s="269"/>
      <c r="K11" s="269"/>
      <c r="L11" s="269"/>
    </row>
    <row r="12" spans="1:12" x14ac:dyDescent="0.25">
      <c r="A12" s="1" t="s">
        <v>410</v>
      </c>
      <c r="I12" s="269"/>
      <c r="J12" s="269"/>
      <c r="K12" s="269"/>
      <c r="L12" s="269"/>
    </row>
    <row r="13" spans="1:12" x14ac:dyDescent="0.25">
      <c r="A13" s="1" t="s">
        <v>411</v>
      </c>
      <c r="I13" s="269"/>
      <c r="J13" s="269"/>
      <c r="K13" s="269"/>
      <c r="L13" s="269"/>
    </row>
    <row r="14" spans="1:12" x14ac:dyDescent="0.25">
      <c r="A14" s="778"/>
      <c r="B14" s="269"/>
      <c r="C14" s="269"/>
      <c r="D14" s="269"/>
      <c r="E14" s="269"/>
      <c r="F14" s="269"/>
      <c r="G14" s="269"/>
      <c r="H14" s="269"/>
      <c r="I14" s="269"/>
      <c r="J14" s="269"/>
      <c r="K14" s="269"/>
      <c r="L14" s="269"/>
    </row>
    <row r="15" spans="1:12" x14ac:dyDescent="0.25">
      <c r="A15" s="779" t="s">
        <v>412</v>
      </c>
    </row>
    <row r="16" spans="1:12" x14ac:dyDescent="0.25">
      <c r="A16" s="779" t="s">
        <v>413</v>
      </c>
    </row>
    <row r="17" spans="1:7" x14ac:dyDescent="0.25">
      <c r="A17" s="779"/>
    </row>
    <row r="18" spans="1:7" x14ac:dyDescent="0.25">
      <c r="A18" s="1" t="s">
        <v>414</v>
      </c>
      <c r="B18" s="270"/>
      <c r="C18" s="270"/>
      <c r="D18" s="270"/>
      <c r="E18" s="270"/>
      <c r="F18" s="270"/>
      <c r="G18" s="270"/>
    </row>
    <row r="19" spans="1:7" x14ac:dyDescent="0.25">
      <c r="A19" s="1" t="str">
        <f>CONCATENATE("your ",inputPrYr!C6-1," numbers to see what steps might be necessary to")</f>
        <v>your 2022 numbers to see what steps might be necessary to</v>
      </c>
      <c r="B19" s="270"/>
      <c r="C19" s="270"/>
      <c r="D19" s="270"/>
      <c r="E19" s="270"/>
      <c r="F19" s="270"/>
      <c r="G19" s="270"/>
    </row>
    <row r="20" spans="1:7" x14ac:dyDescent="0.25">
      <c r="A20" s="1" t="s">
        <v>415</v>
      </c>
      <c r="B20" s="270"/>
      <c r="C20" s="270"/>
      <c r="D20" s="270"/>
      <c r="E20" s="270"/>
      <c r="F20" s="270"/>
      <c r="G20" s="270"/>
    </row>
    <row r="21" spans="1:7" x14ac:dyDescent="0.25">
      <c r="A21" s="1" t="s">
        <v>416</v>
      </c>
      <c r="B21" s="270"/>
      <c r="C21" s="270"/>
      <c r="D21" s="270"/>
      <c r="E21" s="270"/>
      <c r="F21" s="270"/>
      <c r="G21" s="270"/>
    </row>
    <row r="23" spans="1:7" x14ac:dyDescent="0.25">
      <c r="A23" s="779" t="s">
        <v>417</v>
      </c>
    </row>
    <row r="24" spans="1:7" x14ac:dyDescent="0.25">
      <c r="A24" s="779"/>
    </row>
    <row r="25" spans="1:7" x14ac:dyDescent="0.25">
      <c r="A25" s="1" t="s">
        <v>418</v>
      </c>
    </row>
    <row r="26" spans="1:7" x14ac:dyDescent="0.25">
      <c r="A26" s="1" t="s">
        <v>419</v>
      </c>
      <c r="B26" s="270"/>
      <c r="C26" s="270"/>
      <c r="D26" s="270"/>
      <c r="E26" s="270"/>
      <c r="F26" s="270"/>
    </row>
    <row r="27" spans="1:7" x14ac:dyDescent="0.25">
      <c r="A27" s="1" t="s">
        <v>420</v>
      </c>
      <c r="B27" s="270"/>
      <c r="C27" s="270"/>
      <c r="D27" s="270"/>
      <c r="E27" s="270"/>
      <c r="F27" s="270"/>
    </row>
    <row r="28" spans="1:7" x14ac:dyDescent="0.25">
      <c r="A28" s="1" t="s">
        <v>421</v>
      </c>
      <c r="B28" s="270"/>
      <c r="C28" s="270"/>
      <c r="D28" s="270"/>
      <c r="E28" s="270"/>
      <c r="F28" s="270"/>
    </row>
    <row r="29" spans="1:7" x14ac:dyDescent="0.25">
      <c r="B29" s="270"/>
      <c r="C29" s="270"/>
      <c r="D29" s="270"/>
      <c r="E29" s="270"/>
      <c r="F29" s="270"/>
    </row>
    <row r="30" spans="1:7" x14ac:dyDescent="0.25">
      <c r="A30" s="779" t="s">
        <v>422</v>
      </c>
      <c r="B30" s="271"/>
      <c r="C30" s="271"/>
      <c r="D30" s="271"/>
      <c r="E30" s="271"/>
      <c r="F30" s="271"/>
      <c r="G30" s="271"/>
    </row>
    <row r="31" spans="1:7" x14ac:dyDescent="0.25">
      <c r="A31" s="779" t="s">
        <v>423</v>
      </c>
      <c r="B31" s="271"/>
      <c r="C31" s="271"/>
      <c r="D31" s="271"/>
      <c r="E31" s="271"/>
      <c r="F31" s="271"/>
      <c r="G31" s="271"/>
    </row>
    <row r="32" spans="1:7" x14ac:dyDescent="0.25">
      <c r="B32" s="270"/>
      <c r="C32" s="270"/>
      <c r="D32" s="270"/>
      <c r="E32" s="270"/>
      <c r="F32" s="270"/>
    </row>
    <row r="33" spans="1:6" x14ac:dyDescent="0.25">
      <c r="A33" s="783" t="str">
        <f>CONCATENATE("Well, let's look to see if any of your ",inputPrYr!C6-1," expenditures can")</f>
        <v>Well, let's look to see if any of your 2022 expenditures can</v>
      </c>
      <c r="B33" s="270"/>
      <c r="C33" s="270"/>
      <c r="D33" s="270"/>
      <c r="E33" s="270"/>
      <c r="F33" s="270"/>
    </row>
    <row r="34" spans="1:6" x14ac:dyDescent="0.25">
      <c r="A34" s="783" t="s">
        <v>424</v>
      </c>
      <c r="B34" s="270"/>
      <c r="C34" s="270"/>
      <c r="D34" s="270"/>
      <c r="E34" s="270"/>
      <c r="F34" s="270"/>
    </row>
    <row r="35" spans="1:6" x14ac:dyDescent="0.25">
      <c r="A35" s="783" t="s">
        <v>310</v>
      </c>
      <c r="B35" s="270"/>
      <c r="C35" s="270"/>
      <c r="D35" s="270"/>
      <c r="E35" s="270"/>
      <c r="F35" s="270"/>
    </row>
    <row r="36" spans="1:6" x14ac:dyDescent="0.25">
      <c r="A36" s="783" t="s">
        <v>311</v>
      </c>
      <c r="B36" s="270"/>
      <c r="C36" s="270"/>
      <c r="D36" s="270"/>
      <c r="E36" s="270"/>
      <c r="F36" s="270"/>
    </row>
    <row r="37" spans="1:6" x14ac:dyDescent="0.25">
      <c r="A37" s="783"/>
      <c r="B37" s="270"/>
      <c r="C37" s="270"/>
      <c r="D37" s="270"/>
      <c r="E37" s="270"/>
      <c r="F37" s="270"/>
    </row>
    <row r="38" spans="1:6" x14ac:dyDescent="0.25">
      <c r="A38" s="783" t="str">
        <f>CONCATENATE("Additionally, do your ",inputPrYr!C6-1," receipts contain a reimbursement")</f>
        <v>Additionally, do your 2022 receipts contain a reimbursement</v>
      </c>
      <c r="B38" s="270"/>
      <c r="C38" s="270"/>
      <c r="D38" s="270"/>
      <c r="E38" s="270"/>
      <c r="F38" s="270"/>
    </row>
    <row r="39" spans="1:6" x14ac:dyDescent="0.25">
      <c r="A39" s="783" t="s">
        <v>312</v>
      </c>
      <c r="B39" s="270"/>
      <c r="C39" s="270"/>
      <c r="D39" s="270"/>
      <c r="E39" s="270"/>
      <c r="F39" s="270"/>
    </row>
    <row r="40" spans="1:6" x14ac:dyDescent="0.25">
      <c r="A40" s="783" t="s">
        <v>1010</v>
      </c>
      <c r="B40" s="270"/>
      <c r="C40" s="270"/>
      <c r="D40" s="270"/>
      <c r="E40" s="270"/>
      <c r="F40" s="270"/>
    </row>
    <row r="41" spans="1:6" x14ac:dyDescent="0.25">
      <c r="A41" s="783"/>
      <c r="B41" s="270"/>
      <c r="C41" s="270"/>
      <c r="D41" s="270"/>
      <c r="E41" s="270"/>
      <c r="F41" s="270"/>
    </row>
    <row r="42" spans="1:6" x14ac:dyDescent="0.25">
      <c r="A42" s="783" t="s">
        <v>313</v>
      </c>
      <c r="B42" s="270"/>
      <c r="C42" s="270"/>
      <c r="D42" s="270"/>
      <c r="E42" s="270"/>
      <c r="F42" s="270"/>
    </row>
    <row r="43" spans="1:6" x14ac:dyDescent="0.25">
      <c r="A43" s="783" t="s">
        <v>314</v>
      </c>
      <c r="B43" s="270"/>
      <c r="C43" s="270"/>
      <c r="D43" s="270"/>
      <c r="E43" s="270"/>
      <c r="F43" s="270"/>
    </row>
    <row r="44" spans="1:6" x14ac:dyDescent="0.25">
      <c r="A44" s="783" t="s">
        <v>315</v>
      </c>
      <c r="B44" s="270"/>
      <c r="C44" s="270"/>
      <c r="D44" s="270"/>
      <c r="E44" s="270"/>
      <c r="F44" s="270"/>
    </row>
    <row r="45" spans="1:6" x14ac:dyDescent="0.25">
      <c r="A45" s="783" t="s">
        <v>425</v>
      </c>
      <c r="B45" s="270"/>
      <c r="C45" s="270"/>
      <c r="D45" s="270"/>
      <c r="E45" s="270"/>
      <c r="F45" s="270"/>
    </row>
    <row r="46" spans="1:6" x14ac:dyDescent="0.25">
      <c r="A46" s="783" t="s">
        <v>317</v>
      </c>
      <c r="B46" s="270"/>
      <c r="C46" s="270"/>
      <c r="D46" s="270"/>
      <c r="E46" s="270"/>
      <c r="F46" s="270"/>
    </row>
    <row r="47" spans="1:6" x14ac:dyDescent="0.25">
      <c r="A47" s="783" t="s">
        <v>426</v>
      </c>
      <c r="B47" s="270"/>
      <c r="C47" s="270"/>
      <c r="D47" s="270"/>
      <c r="E47" s="270"/>
      <c r="F47" s="270"/>
    </row>
    <row r="48" spans="1:6" x14ac:dyDescent="0.25">
      <c r="A48" s="783" t="s">
        <v>427</v>
      </c>
      <c r="B48" s="270"/>
      <c r="C48" s="270"/>
      <c r="D48" s="270"/>
      <c r="E48" s="270"/>
      <c r="F48" s="270"/>
    </row>
    <row r="49" spans="1:6" x14ac:dyDescent="0.25">
      <c r="A49" s="783" t="s">
        <v>320</v>
      </c>
      <c r="B49" s="270"/>
      <c r="C49" s="270"/>
      <c r="D49" s="270"/>
      <c r="E49" s="270"/>
      <c r="F49" s="270"/>
    </row>
    <row r="50" spans="1:6" x14ac:dyDescent="0.25">
      <c r="A50" s="783"/>
      <c r="B50" s="270"/>
      <c r="C50" s="270"/>
      <c r="D50" s="270"/>
      <c r="E50" s="270"/>
      <c r="F50" s="270"/>
    </row>
    <row r="51" spans="1:6" x14ac:dyDescent="0.25">
      <c r="A51" s="783" t="s">
        <v>321</v>
      </c>
      <c r="B51" s="270"/>
      <c r="C51" s="270"/>
      <c r="D51" s="270"/>
      <c r="E51" s="270"/>
      <c r="F51" s="270"/>
    </row>
    <row r="52" spans="1:6" x14ac:dyDescent="0.25">
      <c r="A52" s="783" t="s">
        <v>322</v>
      </c>
      <c r="B52" s="270"/>
      <c r="C52" s="270"/>
      <c r="D52" s="270"/>
      <c r="E52" s="270"/>
      <c r="F52" s="270"/>
    </row>
    <row r="53" spans="1:6" x14ac:dyDescent="0.25">
      <c r="A53" s="783" t="s">
        <v>323</v>
      </c>
      <c r="B53" s="270"/>
      <c r="C53" s="270"/>
      <c r="D53" s="270"/>
      <c r="E53" s="270"/>
      <c r="F53" s="270"/>
    </row>
    <row r="54" spans="1:6" x14ac:dyDescent="0.25">
      <c r="A54" s="783"/>
      <c r="B54" s="270"/>
      <c r="C54" s="270"/>
      <c r="D54" s="270"/>
      <c r="E54" s="270"/>
      <c r="F54" s="270"/>
    </row>
    <row r="55" spans="1:6" x14ac:dyDescent="0.25">
      <c r="A55" s="783" t="s">
        <v>428</v>
      </c>
      <c r="B55" s="270"/>
      <c r="C55" s="270"/>
      <c r="D55" s="270"/>
      <c r="E55" s="270"/>
      <c r="F55" s="270"/>
    </row>
    <row r="56" spans="1:6" x14ac:dyDescent="0.25">
      <c r="A56" s="783" t="s">
        <v>429</v>
      </c>
      <c r="B56" s="270"/>
      <c r="C56" s="270"/>
      <c r="D56" s="270"/>
      <c r="E56" s="270"/>
      <c r="F56" s="270"/>
    </row>
    <row r="57" spans="1:6" x14ac:dyDescent="0.25">
      <c r="A57" s="783" t="s">
        <v>430</v>
      </c>
      <c r="B57" s="270"/>
      <c r="C57" s="270"/>
      <c r="D57" s="270"/>
      <c r="E57" s="270"/>
      <c r="F57" s="270"/>
    </row>
    <row r="58" spans="1:6" x14ac:dyDescent="0.25">
      <c r="A58" s="783" t="s">
        <v>431</v>
      </c>
      <c r="B58" s="270"/>
      <c r="C58" s="270"/>
      <c r="D58" s="270"/>
      <c r="E58" s="270"/>
      <c r="F58" s="270"/>
    </row>
    <row r="59" spans="1:6" x14ac:dyDescent="0.25">
      <c r="A59" s="783" t="s">
        <v>432</v>
      </c>
      <c r="B59" s="270"/>
      <c r="C59" s="270"/>
      <c r="D59" s="270"/>
      <c r="E59" s="270"/>
      <c r="F59" s="270"/>
    </row>
    <row r="60" spans="1:6" x14ac:dyDescent="0.25">
      <c r="A60" s="783"/>
      <c r="B60" s="270"/>
      <c r="C60" s="270"/>
      <c r="D60" s="270"/>
      <c r="E60" s="270"/>
      <c r="F60" s="270"/>
    </row>
    <row r="61" spans="1:6" x14ac:dyDescent="0.25">
      <c r="A61" s="784" t="s">
        <v>433</v>
      </c>
      <c r="B61" s="270"/>
      <c r="C61" s="270"/>
      <c r="D61" s="270"/>
      <c r="E61" s="270"/>
      <c r="F61" s="270"/>
    </row>
    <row r="62" spans="1:6" x14ac:dyDescent="0.25">
      <c r="A62" s="784" t="s">
        <v>434</v>
      </c>
      <c r="B62" s="270"/>
      <c r="C62" s="270"/>
      <c r="D62" s="270"/>
      <c r="E62" s="270"/>
      <c r="F62" s="270"/>
    </row>
    <row r="63" spans="1:6" x14ac:dyDescent="0.25">
      <c r="A63" s="784" t="s">
        <v>435</v>
      </c>
      <c r="B63" s="270"/>
      <c r="C63" s="270"/>
      <c r="D63" s="270"/>
      <c r="E63" s="270"/>
      <c r="F63" s="270"/>
    </row>
    <row r="64" spans="1:6" x14ac:dyDescent="0.25">
      <c r="A64" s="784" t="s">
        <v>436</v>
      </c>
    </row>
    <row r="65" spans="1:1" x14ac:dyDescent="0.25">
      <c r="A65" s="784" t="s">
        <v>437</v>
      </c>
    </row>
    <row r="66" spans="1:1" x14ac:dyDescent="0.25">
      <c r="A66" s="784" t="s">
        <v>438</v>
      </c>
    </row>
    <row r="68" spans="1:1" x14ac:dyDescent="0.25">
      <c r="A68" s="1" t="s">
        <v>439</v>
      </c>
    </row>
    <row r="69" spans="1:1" x14ac:dyDescent="0.25">
      <c r="A69" s="1" t="s">
        <v>440</v>
      </c>
    </row>
    <row r="70" spans="1:1" x14ac:dyDescent="0.25">
      <c r="A70" s="1" t="s">
        <v>441</v>
      </c>
    </row>
    <row r="71" spans="1:1" x14ac:dyDescent="0.25">
      <c r="A71" s="1" t="s">
        <v>442</v>
      </c>
    </row>
    <row r="72" spans="1:1" x14ac:dyDescent="0.25">
      <c r="A72" s="1" t="s">
        <v>443</v>
      </c>
    </row>
    <row r="73" spans="1:1" x14ac:dyDescent="0.25">
      <c r="A73" s="1" t="s">
        <v>444</v>
      </c>
    </row>
    <row r="75" spans="1:1" x14ac:dyDescent="0.25">
      <c r="A75" s="1" t="s">
        <v>350</v>
      </c>
    </row>
  </sheetData>
  <sheetProtection sheet="1"/>
  <pageMargins left="0.7" right="0.7" top="0.75" bottom="0.75" header="0.3" footer="0.3"/>
  <pageSetup orientation="portrait" r:id="rId1"/>
  <headerFooter>
    <oddFooter>&amp;Lrevised 10/2/09</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9">
    <tabColor rgb="FFFF0000"/>
  </sheetPr>
  <dimension ref="A1:G78"/>
  <sheetViews>
    <sheetView workbookViewId="0">
      <selection activeCell="I27" sqref="I27"/>
    </sheetView>
  </sheetViews>
  <sheetFormatPr defaultRowHeight="15.75" x14ac:dyDescent="0.25"/>
  <cols>
    <col min="1" max="1" width="71.33203125" style="1" customWidth="1"/>
  </cols>
  <sheetData>
    <row r="1" spans="1:7" ht="20.25" x14ac:dyDescent="0.2">
      <c r="A1" s="780" t="s">
        <v>1015</v>
      </c>
    </row>
    <row r="3" spans="1:7" x14ac:dyDescent="0.25">
      <c r="A3" s="778" t="s">
        <v>445</v>
      </c>
      <c r="B3" s="269"/>
      <c r="C3" s="269"/>
      <c r="D3" s="269"/>
      <c r="E3" s="269"/>
      <c r="F3" s="269"/>
      <c r="G3" s="269"/>
    </row>
    <row r="4" spans="1:7" x14ac:dyDescent="0.25">
      <c r="A4" s="778"/>
      <c r="B4" s="269"/>
      <c r="C4" s="269"/>
      <c r="D4" s="269"/>
      <c r="E4" s="269"/>
      <c r="F4" s="269"/>
      <c r="G4" s="269"/>
    </row>
    <row r="5" spans="1:7" x14ac:dyDescent="0.25">
      <c r="A5" s="1" t="s">
        <v>352</v>
      </c>
    </row>
    <row r="6" spans="1:7" x14ac:dyDescent="0.25">
      <c r="A6" s="1" t="str">
        <f>CONCATENATE(inputPrYr!C6," estimated expenditures show that at the end of this year")</f>
        <v>2023 estimated expenditures show that at the end of this year</v>
      </c>
    </row>
    <row r="7" spans="1:7" x14ac:dyDescent="0.25">
      <c r="A7" s="1" t="s">
        <v>446</v>
      </c>
    </row>
    <row r="8" spans="1:7" x14ac:dyDescent="0.25">
      <c r="A8" s="1" t="s">
        <v>447</v>
      </c>
    </row>
    <row r="10" spans="1:7" x14ac:dyDescent="0.25">
      <c r="A10" s="1" t="s">
        <v>354</v>
      </c>
    </row>
    <row r="11" spans="1:7" x14ac:dyDescent="0.25">
      <c r="A11" s="1" t="s">
        <v>355</v>
      </c>
    </row>
    <row r="12" spans="1:7" x14ac:dyDescent="0.25">
      <c r="A12" s="1" t="s">
        <v>356</v>
      </c>
    </row>
    <row r="13" spans="1:7" x14ac:dyDescent="0.25">
      <c r="A13" s="778"/>
      <c r="B13" s="269"/>
      <c r="C13" s="269"/>
      <c r="D13" s="269"/>
      <c r="E13" s="269"/>
      <c r="F13" s="269"/>
      <c r="G13" s="269"/>
    </row>
    <row r="14" spans="1:7" x14ac:dyDescent="0.25">
      <c r="A14" s="779" t="s">
        <v>448</v>
      </c>
    </row>
    <row r="16" spans="1:7" x14ac:dyDescent="0.25">
      <c r="A16" s="1" t="s">
        <v>449</v>
      </c>
    </row>
    <row r="17" spans="1:7" x14ac:dyDescent="0.25">
      <c r="A17" s="1" t="s">
        <v>450</v>
      </c>
    </row>
    <row r="18" spans="1:7" x14ac:dyDescent="0.25">
      <c r="A18" s="1" t="s">
        <v>451</v>
      </c>
    </row>
    <row r="20" spans="1:7" x14ac:dyDescent="0.25">
      <c r="A20" s="1" t="s">
        <v>452</v>
      </c>
    </row>
    <row r="21" spans="1:7" x14ac:dyDescent="0.25">
      <c r="A21" s="1" t="s">
        <v>453</v>
      </c>
    </row>
    <row r="22" spans="1:7" x14ac:dyDescent="0.25">
      <c r="A22" s="1" t="s">
        <v>454</v>
      </c>
    </row>
    <row r="23" spans="1:7" x14ac:dyDescent="0.25">
      <c r="A23" s="1" t="s">
        <v>455</v>
      </c>
    </row>
    <row r="25" spans="1:7" x14ac:dyDescent="0.25">
      <c r="A25" s="779" t="s">
        <v>417</v>
      </c>
    </row>
    <row r="26" spans="1:7" x14ac:dyDescent="0.25">
      <c r="A26" s="779"/>
    </row>
    <row r="27" spans="1:7" x14ac:dyDescent="0.25">
      <c r="A27" s="1" t="s">
        <v>418</v>
      </c>
    </row>
    <row r="28" spans="1:7" x14ac:dyDescent="0.25">
      <c r="A28" s="1" t="s">
        <v>419</v>
      </c>
      <c r="B28" s="270"/>
      <c r="C28" s="270"/>
      <c r="D28" s="270"/>
      <c r="E28" s="270"/>
      <c r="F28" s="270"/>
    </row>
    <row r="29" spans="1:7" x14ac:dyDescent="0.25">
      <c r="A29" s="1" t="s">
        <v>420</v>
      </c>
      <c r="B29" s="270"/>
      <c r="C29" s="270"/>
      <c r="D29" s="270"/>
      <c r="E29" s="270"/>
      <c r="F29" s="270"/>
    </row>
    <row r="30" spans="1:7" x14ac:dyDescent="0.25">
      <c r="A30" s="1" t="s">
        <v>421</v>
      </c>
      <c r="B30" s="270"/>
      <c r="C30" s="270"/>
      <c r="D30" s="270"/>
      <c r="E30" s="270"/>
      <c r="F30" s="270"/>
    </row>
    <row r="32" spans="1:7" x14ac:dyDescent="0.25">
      <c r="A32" s="779" t="s">
        <v>422</v>
      </c>
      <c r="B32" s="271"/>
      <c r="C32" s="271"/>
      <c r="D32" s="271"/>
      <c r="E32" s="271"/>
      <c r="F32" s="271"/>
      <c r="G32" s="271"/>
    </row>
    <row r="33" spans="1:7" x14ac:dyDescent="0.25">
      <c r="A33" s="779" t="s">
        <v>423</v>
      </c>
      <c r="B33" s="271"/>
      <c r="C33" s="271"/>
      <c r="D33" s="271"/>
      <c r="E33" s="271"/>
      <c r="F33" s="271"/>
      <c r="G33" s="271"/>
    </row>
    <row r="34" spans="1:7" x14ac:dyDescent="0.25">
      <c r="A34" s="779"/>
      <c r="B34" s="271"/>
      <c r="C34" s="271"/>
      <c r="D34" s="271"/>
      <c r="E34" s="271"/>
      <c r="F34" s="271"/>
      <c r="G34" s="271"/>
    </row>
    <row r="35" spans="1:7" x14ac:dyDescent="0.25">
      <c r="A35" s="1" t="s">
        <v>456</v>
      </c>
      <c r="B35" s="270"/>
      <c r="C35" s="270"/>
      <c r="D35" s="270"/>
      <c r="E35" s="270"/>
      <c r="F35" s="270"/>
      <c r="G35" s="270"/>
    </row>
    <row r="36" spans="1:7" x14ac:dyDescent="0.25">
      <c r="A36" s="1" t="s">
        <v>457</v>
      </c>
      <c r="B36" s="270"/>
      <c r="C36" s="270"/>
      <c r="D36" s="270"/>
      <c r="E36" s="270"/>
      <c r="F36" s="270"/>
      <c r="G36" s="270"/>
    </row>
    <row r="37" spans="1:7" x14ac:dyDescent="0.25">
      <c r="A37" s="1" t="s">
        <v>458</v>
      </c>
      <c r="B37" s="270"/>
      <c r="C37" s="270"/>
      <c r="D37" s="270"/>
      <c r="E37" s="270"/>
      <c r="F37" s="270"/>
      <c r="G37" s="270"/>
    </row>
    <row r="38" spans="1:7" x14ac:dyDescent="0.25">
      <c r="A38" s="1" t="s">
        <v>459</v>
      </c>
      <c r="B38" s="270"/>
      <c r="C38" s="270"/>
      <c r="D38" s="270"/>
      <c r="E38" s="270"/>
      <c r="F38" s="270"/>
      <c r="G38" s="270"/>
    </row>
    <row r="39" spans="1:7" x14ac:dyDescent="0.25">
      <c r="A39" s="1" t="s">
        <v>460</v>
      </c>
      <c r="B39" s="270"/>
      <c r="C39" s="270"/>
      <c r="D39" s="270"/>
      <c r="E39" s="270"/>
      <c r="F39" s="270"/>
      <c r="G39" s="270"/>
    </row>
    <row r="40" spans="1:7" x14ac:dyDescent="0.25">
      <c r="A40" s="779"/>
      <c r="B40" s="271"/>
      <c r="C40" s="271"/>
      <c r="D40" s="271"/>
      <c r="E40" s="271"/>
      <c r="F40" s="271"/>
      <c r="G40" s="271"/>
    </row>
    <row r="41" spans="1:7" x14ac:dyDescent="0.25">
      <c r="A41" s="783" t="str">
        <f>CONCATENATE("So, let's look to see if any of your ",inputPrYr!C6-1," expenditures can")</f>
        <v>So, let's look to see if any of your 2022 expenditures can</v>
      </c>
      <c r="B41" s="270"/>
      <c r="C41" s="270"/>
      <c r="D41" s="270"/>
      <c r="E41" s="270"/>
      <c r="F41" s="270"/>
    </row>
    <row r="42" spans="1:7" x14ac:dyDescent="0.25">
      <c r="A42" s="783" t="s">
        <v>424</v>
      </c>
      <c r="B42" s="270"/>
      <c r="C42" s="270"/>
      <c r="D42" s="270"/>
      <c r="E42" s="270"/>
      <c r="F42" s="270"/>
    </row>
    <row r="43" spans="1:7" x14ac:dyDescent="0.25">
      <c r="A43" s="783" t="s">
        <v>310</v>
      </c>
      <c r="B43" s="270"/>
      <c r="C43" s="270"/>
      <c r="D43" s="270"/>
      <c r="E43" s="270"/>
      <c r="F43" s="270"/>
    </row>
    <row r="44" spans="1:7" x14ac:dyDescent="0.25">
      <c r="A44" s="783" t="s">
        <v>311</v>
      </c>
      <c r="B44" s="270"/>
      <c r="C44" s="270"/>
      <c r="D44" s="270"/>
      <c r="E44" s="270"/>
      <c r="F44" s="270"/>
    </row>
    <row r="46" spans="1:7" x14ac:dyDescent="0.25">
      <c r="A46" s="783" t="str">
        <f>CONCATENATE("Additionally, do your ",inputPrYr!C6-1," receipts contain a reimbursement")</f>
        <v>Additionally, do your 2022 receipts contain a reimbursement</v>
      </c>
      <c r="B46" s="270"/>
      <c r="C46" s="270"/>
      <c r="D46" s="270"/>
      <c r="E46" s="270"/>
      <c r="F46" s="270"/>
    </row>
    <row r="47" spans="1:7" x14ac:dyDescent="0.25">
      <c r="A47" s="783" t="s">
        <v>312</v>
      </c>
      <c r="B47" s="270"/>
      <c r="C47" s="270"/>
      <c r="D47" s="270"/>
      <c r="E47" s="270"/>
      <c r="F47" s="270"/>
    </row>
    <row r="48" spans="1:7" x14ac:dyDescent="0.25">
      <c r="A48" s="783" t="s">
        <v>1010</v>
      </c>
      <c r="B48" s="270"/>
      <c r="C48" s="270"/>
      <c r="D48" s="270"/>
      <c r="E48" s="270"/>
      <c r="F48" s="270"/>
    </row>
    <row r="49" spans="1:7" x14ac:dyDescent="0.25">
      <c r="B49" s="270"/>
      <c r="C49" s="270"/>
      <c r="D49" s="270"/>
      <c r="E49" s="270"/>
      <c r="F49" s="270"/>
      <c r="G49" s="270"/>
    </row>
    <row r="50" spans="1:7" x14ac:dyDescent="0.25">
      <c r="A50" s="1" t="s">
        <v>378</v>
      </c>
      <c r="B50" s="270"/>
      <c r="C50" s="270"/>
      <c r="D50" s="270"/>
      <c r="E50" s="270"/>
      <c r="F50" s="270"/>
      <c r="G50" s="270"/>
    </row>
    <row r="51" spans="1:7" x14ac:dyDescent="0.25">
      <c r="A51" s="1" t="s">
        <v>379</v>
      </c>
      <c r="B51" s="270"/>
      <c r="C51" s="270"/>
      <c r="D51" s="270"/>
      <c r="E51" s="270"/>
      <c r="F51" s="270"/>
      <c r="G51" s="270"/>
    </row>
    <row r="52" spans="1:7" x14ac:dyDescent="0.25">
      <c r="A52" s="1" t="s">
        <v>380</v>
      </c>
      <c r="B52" s="270"/>
      <c r="C52" s="270"/>
      <c r="D52" s="270"/>
      <c r="E52" s="270"/>
      <c r="F52" s="270"/>
      <c r="G52" s="270"/>
    </row>
    <row r="53" spans="1:7" x14ac:dyDescent="0.25">
      <c r="A53" s="1" t="s">
        <v>381</v>
      </c>
      <c r="B53" s="270"/>
      <c r="C53" s="270"/>
      <c r="D53" s="270"/>
      <c r="E53" s="270"/>
      <c r="F53" s="270"/>
      <c r="G53" s="270"/>
    </row>
    <row r="54" spans="1:7" x14ac:dyDescent="0.25">
      <c r="A54" s="1" t="s">
        <v>382</v>
      </c>
      <c r="B54" s="270"/>
      <c r="C54" s="270"/>
      <c r="D54" s="270"/>
      <c r="E54" s="270"/>
      <c r="F54" s="270"/>
      <c r="G54" s="270"/>
    </row>
    <row r="55" spans="1:7" x14ac:dyDescent="0.25">
      <c r="B55" s="270"/>
      <c r="C55" s="270"/>
      <c r="D55" s="270"/>
      <c r="E55" s="270"/>
      <c r="F55" s="270"/>
      <c r="G55" s="270"/>
    </row>
    <row r="56" spans="1:7" x14ac:dyDescent="0.25">
      <c r="A56" s="783" t="s">
        <v>321</v>
      </c>
      <c r="B56" s="270"/>
      <c r="C56" s="270"/>
      <c r="D56" s="270"/>
      <c r="E56" s="270"/>
      <c r="F56" s="270"/>
    </row>
    <row r="57" spans="1:7" x14ac:dyDescent="0.25">
      <c r="A57" s="783" t="s">
        <v>322</v>
      </c>
      <c r="B57" s="270"/>
      <c r="C57" s="270"/>
      <c r="D57" s="270"/>
      <c r="E57" s="270"/>
      <c r="F57" s="270"/>
    </row>
    <row r="58" spans="1:7" x14ac:dyDescent="0.25">
      <c r="A58" s="783" t="s">
        <v>323</v>
      </c>
      <c r="B58" s="270"/>
      <c r="C58" s="270"/>
      <c r="D58" s="270"/>
      <c r="E58" s="270"/>
      <c r="F58" s="270"/>
    </row>
    <row r="59" spans="1:7" x14ac:dyDescent="0.25">
      <c r="A59" s="783"/>
      <c r="B59" s="270"/>
      <c r="C59" s="270"/>
      <c r="D59" s="270"/>
      <c r="E59" s="270"/>
      <c r="F59" s="270"/>
    </row>
    <row r="60" spans="1:7" x14ac:dyDescent="0.25">
      <c r="A60" s="1" t="s">
        <v>461</v>
      </c>
      <c r="B60" s="270"/>
      <c r="C60" s="270"/>
      <c r="D60" s="270"/>
      <c r="E60" s="270"/>
      <c r="F60" s="270"/>
      <c r="G60" s="270"/>
    </row>
    <row r="61" spans="1:7" x14ac:dyDescent="0.25">
      <c r="A61" s="1" t="s">
        <v>462</v>
      </c>
      <c r="B61" s="270"/>
      <c r="C61" s="270"/>
      <c r="D61" s="270"/>
      <c r="E61" s="270"/>
      <c r="F61" s="270"/>
      <c r="G61" s="270"/>
    </row>
    <row r="62" spans="1:7" x14ac:dyDescent="0.25">
      <c r="A62" s="1" t="s">
        <v>463</v>
      </c>
      <c r="B62" s="270"/>
      <c r="C62" s="270"/>
      <c r="D62" s="270"/>
      <c r="E62" s="270"/>
      <c r="F62" s="270"/>
      <c r="G62" s="270"/>
    </row>
    <row r="63" spans="1:7" x14ac:dyDescent="0.25">
      <c r="A63" s="1" t="s">
        <v>464</v>
      </c>
      <c r="B63" s="270"/>
      <c r="C63" s="270"/>
      <c r="D63" s="270"/>
      <c r="E63" s="270"/>
      <c r="F63" s="270"/>
      <c r="G63" s="270"/>
    </row>
    <row r="64" spans="1:7" x14ac:dyDescent="0.25">
      <c r="A64" s="1" t="s">
        <v>465</v>
      </c>
      <c r="B64" s="270"/>
      <c r="C64" s="270"/>
      <c r="D64" s="270"/>
      <c r="E64" s="270"/>
      <c r="F64" s="270"/>
      <c r="G64" s="270"/>
    </row>
    <row r="66" spans="1:6" x14ac:dyDescent="0.25">
      <c r="A66" s="783" t="s">
        <v>428</v>
      </c>
      <c r="B66" s="270"/>
      <c r="C66" s="270"/>
      <c r="D66" s="270"/>
      <c r="E66" s="270"/>
      <c r="F66" s="270"/>
    </row>
    <row r="67" spans="1:6" x14ac:dyDescent="0.25">
      <c r="A67" s="783" t="s">
        <v>429</v>
      </c>
      <c r="B67" s="270"/>
      <c r="C67" s="270"/>
      <c r="D67" s="270"/>
      <c r="E67" s="270"/>
      <c r="F67" s="270"/>
    </row>
    <row r="68" spans="1:6" x14ac:dyDescent="0.25">
      <c r="A68" s="783" t="s">
        <v>430</v>
      </c>
      <c r="B68" s="270"/>
      <c r="C68" s="270"/>
      <c r="D68" s="270"/>
      <c r="E68" s="270"/>
      <c r="F68" s="270"/>
    </row>
    <row r="69" spans="1:6" x14ac:dyDescent="0.25">
      <c r="A69" s="783" t="s">
        <v>431</v>
      </c>
      <c r="B69" s="270"/>
      <c r="C69" s="270"/>
      <c r="D69" s="270"/>
      <c r="E69" s="270"/>
      <c r="F69" s="270"/>
    </row>
    <row r="70" spans="1:6" x14ac:dyDescent="0.25">
      <c r="A70" s="783" t="s">
        <v>432</v>
      </c>
      <c r="B70" s="270"/>
      <c r="C70" s="270"/>
      <c r="D70" s="270"/>
      <c r="E70" s="270"/>
      <c r="F70" s="270"/>
    </row>
    <row r="72" spans="1:6" x14ac:dyDescent="0.25">
      <c r="A72" s="1" t="s">
        <v>350</v>
      </c>
    </row>
    <row r="78" spans="1:6" x14ac:dyDescent="0.25">
      <c r="A78" s="779"/>
    </row>
  </sheetData>
  <sheetProtection sheet="1"/>
  <pageMargins left="0.7" right="0.7" top="0.75" bottom="0.75" header="0.3" footer="0.3"/>
  <pageSetup orientation="portrait" r:id="rId1"/>
  <headerFooter>
    <oddFooter>&amp;Lrevised 10/2/09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0">
    <tabColor rgb="FFFF0000"/>
  </sheetPr>
  <dimension ref="A1:H52"/>
  <sheetViews>
    <sheetView workbookViewId="0">
      <selection activeCell="I27" sqref="I27"/>
    </sheetView>
  </sheetViews>
  <sheetFormatPr defaultRowHeight="15.75" x14ac:dyDescent="0.25"/>
  <cols>
    <col min="1" max="1" width="71.33203125" style="1" customWidth="1"/>
  </cols>
  <sheetData>
    <row r="1" spans="1:7" ht="20.25" x14ac:dyDescent="0.2">
      <c r="A1" s="780" t="s">
        <v>1016</v>
      </c>
    </row>
    <row r="3" spans="1:7" x14ac:dyDescent="0.25">
      <c r="A3" s="778" t="s">
        <v>466</v>
      </c>
      <c r="B3" s="269"/>
      <c r="C3" s="269"/>
      <c r="D3" s="269"/>
      <c r="E3" s="269"/>
      <c r="F3" s="269"/>
      <c r="G3" s="269"/>
    </row>
    <row r="4" spans="1:7" x14ac:dyDescent="0.25">
      <c r="A4" s="778" t="s">
        <v>467</v>
      </c>
      <c r="B4" s="269"/>
      <c r="C4" s="269"/>
      <c r="D4" s="269"/>
      <c r="E4" s="269"/>
      <c r="F4" s="269"/>
      <c r="G4" s="269"/>
    </row>
    <row r="5" spans="1:7" x14ac:dyDescent="0.25">
      <c r="A5" s="778"/>
      <c r="B5" s="269"/>
      <c r="C5" s="269"/>
      <c r="D5" s="269"/>
      <c r="E5" s="269"/>
      <c r="F5" s="269"/>
      <c r="G5" s="269"/>
    </row>
    <row r="6" spans="1:7" x14ac:dyDescent="0.25">
      <c r="A6" s="778"/>
      <c r="B6" s="269"/>
      <c r="C6" s="269"/>
      <c r="D6" s="269"/>
      <c r="E6" s="269"/>
      <c r="F6" s="269"/>
      <c r="G6" s="269"/>
    </row>
    <row r="7" spans="1:7" x14ac:dyDescent="0.25">
      <c r="A7" s="1" t="s">
        <v>297</v>
      </c>
    </row>
    <row r="8" spans="1:7" x14ac:dyDescent="0.25">
      <c r="A8" s="1" t="str">
        <f>CONCATENATE("estimated ",inputPrYr!C6," 'total expenditures' exceed your ",inputPrYr!C6,"")</f>
        <v>estimated 2023 'total expenditures' exceed your 2023</v>
      </c>
    </row>
    <row r="9" spans="1:7" x14ac:dyDescent="0.25">
      <c r="A9" s="781" t="s">
        <v>468</v>
      </c>
    </row>
    <row r="11" spans="1:7" x14ac:dyDescent="0.25">
      <c r="A11" s="1" t="s">
        <v>469</v>
      </c>
    </row>
    <row r="12" spans="1:7" x14ac:dyDescent="0.25">
      <c r="A12" s="1" t="s">
        <v>470</v>
      </c>
    </row>
    <row r="13" spans="1:7" x14ac:dyDescent="0.25">
      <c r="A13" s="1" t="s">
        <v>471</v>
      </c>
    </row>
    <row r="15" spans="1:7" x14ac:dyDescent="0.25">
      <c r="A15" s="779" t="s">
        <v>472</v>
      </c>
    </row>
    <row r="16" spans="1:7" x14ac:dyDescent="0.25">
      <c r="A16" s="778"/>
      <c r="B16" s="269"/>
      <c r="C16" s="269"/>
      <c r="D16" s="269"/>
      <c r="E16" s="269"/>
      <c r="F16" s="269"/>
      <c r="G16" s="269"/>
    </row>
    <row r="17" spans="1:8" x14ac:dyDescent="0.25">
      <c r="A17" s="782" t="s">
        <v>473</v>
      </c>
      <c r="B17" s="273"/>
      <c r="C17" s="273"/>
      <c r="D17" s="273"/>
      <c r="E17" s="273"/>
      <c r="F17" s="273"/>
      <c r="G17" s="273"/>
      <c r="H17" s="273"/>
    </row>
    <row r="18" spans="1:8" x14ac:dyDescent="0.25">
      <c r="A18" s="1" t="s">
        <v>474</v>
      </c>
      <c r="B18" s="274"/>
      <c r="C18" s="274"/>
      <c r="D18" s="274"/>
      <c r="E18" s="274"/>
      <c r="F18" s="274"/>
      <c r="G18" s="274"/>
    </row>
    <row r="19" spans="1:8" x14ac:dyDescent="0.25">
      <c r="A19" s="1" t="s">
        <v>475</v>
      </c>
    </row>
    <row r="20" spans="1:8" x14ac:dyDescent="0.25">
      <c r="A20" s="1" t="s">
        <v>476</v>
      </c>
    </row>
    <row r="22" spans="1:8" x14ac:dyDescent="0.25">
      <c r="A22" s="779" t="s">
        <v>477</v>
      </c>
    </row>
    <row r="24" spans="1:8" x14ac:dyDescent="0.25">
      <c r="A24" s="1" t="s">
        <v>478</v>
      </c>
    </row>
    <row r="25" spans="1:8" x14ac:dyDescent="0.25">
      <c r="A25" s="1" t="s">
        <v>479</v>
      </c>
    </row>
    <row r="26" spans="1:8" x14ac:dyDescent="0.25">
      <c r="A26" s="1" t="s">
        <v>480</v>
      </c>
    </row>
    <row r="28" spans="1:8" x14ac:dyDescent="0.25">
      <c r="A28" s="779" t="s">
        <v>481</v>
      </c>
    </row>
    <row r="30" spans="1:8" x14ac:dyDescent="0.25">
      <c r="A30" s="1" t="s">
        <v>482</v>
      </c>
    </row>
    <row r="31" spans="1:8" x14ac:dyDescent="0.25">
      <c r="A31" s="1" t="s">
        <v>483</v>
      </c>
    </row>
    <row r="32" spans="1:8" x14ac:dyDescent="0.25">
      <c r="A32" s="1" t="s">
        <v>484</v>
      </c>
    </row>
    <row r="33" spans="1:1" x14ac:dyDescent="0.25">
      <c r="A33" s="1" t="s">
        <v>485</v>
      </c>
    </row>
    <row r="35" spans="1:1" x14ac:dyDescent="0.25">
      <c r="A35" s="1" t="s">
        <v>486</v>
      </c>
    </row>
    <row r="36" spans="1:1" x14ac:dyDescent="0.25">
      <c r="A36" s="1" t="s">
        <v>487</v>
      </c>
    </row>
    <row r="37" spans="1:1" x14ac:dyDescent="0.25">
      <c r="A37" s="1" t="s">
        <v>488</v>
      </c>
    </row>
    <row r="38" spans="1:1" x14ac:dyDescent="0.25">
      <c r="A38" s="1" t="s">
        <v>489</v>
      </c>
    </row>
    <row r="40" spans="1:1" x14ac:dyDescent="0.25">
      <c r="A40" s="1" t="s">
        <v>490</v>
      </c>
    </row>
    <row r="41" spans="1:1" x14ac:dyDescent="0.25">
      <c r="A41" s="1" t="s">
        <v>491</v>
      </c>
    </row>
    <row r="42" spans="1:1" x14ac:dyDescent="0.25">
      <c r="A42" s="1" t="s">
        <v>492</v>
      </c>
    </row>
    <row r="43" spans="1:1" x14ac:dyDescent="0.25">
      <c r="A43" s="1" t="s">
        <v>493</v>
      </c>
    </row>
    <row r="44" spans="1:1" x14ac:dyDescent="0.25">
      <c r="A44" s="1" t="s">
        <v>494</v>
      </c>
    </row>
    <row r="45" spans="1:1" x14ac:dyDescent="0.25">
      <c r="A45" s="1" t="s">
        <v>495</v>
      </c>
    </row>
    <row r="47" spans="1:1" x14ac:dyDescent="0.25">
      <c r="A47" s="1" t="s">
        <v>496</v>
      </c>
    </row>
    <row r="48" spans="1:1" x14ac:dyDescent="0.25">
      <c r="A48" s="1" t="s">
        <v>497</v>
      </c>
    </row>
    <row r="49" spans="1:1" x14ac:dyDescent="0.25">
      <c r="A49" s="1" t="s">
        <v>498</v>
      </c>
    </row>
    <row r="50" spans="1:1" x14ac:dyDescent="0.25">
      <c r="A50" s="1" t="s">
        <v>499</v>
      </c>
    </row>
    <row r="52" spans="1:1" x14ac:dyDescent="0.25">
      <c r="A52" s="1" t="s">
        <v>350</v>
      </c>
    </row>
  </sheetData>
  <sheetProtection sheet="1"/>
  <pageMargins left="0.7" right="0.7" top="0.75" bottom="0.75" header="0.3" footer="0.3"/>
  <pageSetup orientation="portrait" r:id="rId1"/>
  <headerFooter>
    <oddFooter>&amp;Lrevised 10/2/09</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1"/>
  <dimension ref="A1:X354"/>
  <sheetViews>
    <sheetView zoomScaleNormal="100" workbookViewId="0">
      <selection activeCell="I27" sqref="I27"/>
    </sheetView>
  </sheetViews>
  <sheetFormatPr defaultRowHeight="14.25" x14ac:dyDescent="0.2"/>
  <cols>
    <col min="1" max="1" width="7.5546875" style="406" customWidth="1"/>
    <col min="2" max="2" width="11.21875" style="340" customWidth="1"/>
    <col min="3" max="3" width="7.44140625" style="340" customWidth="1"/>
    <col min="4" max="4" width="8.88671875" style="340"/>
    <col min="5" max="5" width="1.5546875" style="340" customWidth="1"/>
    <col min="6" max="6" width="14.33203125" style="340" customWidth="1"/>
    <col min="7" max="7" width="2.5546875" style="340" customWidth="1"/>
    <col min="8" max="8" width="9.77734375" style="340" customWidth="1"/>
    <col min="9" max="9" width="2" style="340" customWidth="1"/>
    <col min="10" max="10" width="8.5546875" style="340" customWidth="1"/>
    <col min="11" max="11" width="11.6640625" style="340" customWidth="1"/>
    <col min="12" max="12" width="7.5546875" style="406" customWidth="1"/>
    <col min="13" max="14" width="8.88671875" style="406"/>
    <col min="15" max="15" width="9.88671875" style="406" bestFit="1" customWidth="1"/>
    <col min="16" max="16384" width="8.88671875" style="406"/>
  </cols>
  <sheetData>
    <row r="1" spans="1:12" x14ac:dyDescent="0.2">
      <c r="A1" s="339"/>
      <c r="B1" s="339"/>
      <c r="C1" s="339"/>
      <c r="D1" s="339"/>
      <c r="E1" s="339"/>
      <c r="F1" s="339"/>
      <c r="G1" s="339"/>
      <c r="H1" s="339"/>
      <c r="I1" s="339"/>
      <c r="J1" s="339"/>
      <c r="K1" s="339"/>
      <c r="L1" s="339"/>
    </row>
    <row r="2" spans="1:12" x14ac:dyDescent="0.2">
      <c r="A2" s="339"/>
      <c r="B2" s="339"/>
      <c r="C2" s="339"/>
      <c r="D2" s="339"/>
      <c r="E2" s="339"/>
      <c r="F2" s="339"/>
      <c r="G2" s="339"/>
      <c r="H2" s="339"/>
      <c r="I2" s="339"/>
      <c r="J2" s="339"/>
      <c r="K2" s="339"/>
      <c r="L2" s="339"/>
    </row>
    <row r="3" spans="1:12" x14ac:dyDescent="0.2">
      <c r="A3" s="339"/>
      <c r="B3" s="339"/>
      <c r="C3" s="339"/>
      <c r="D3" s="339"/>
      <c r="E3" s="339"/>
      <c r="F3" s="339"/>
      <c r="G3" s="339"/>
      <c r="H3" s="339"/>
      <c r="I3" s="339"/>
      <c r="J3" s="339"/>
      <c r="K3" s="339"/>
      <c r="L3" s="339"/>
    </row>
    <row r="4" spans="1:12" x14ac:dyDescent="0.2">
      <c r="A4" s="339"/>
      <c r="L4" s="339"/>
    </row>
    <row r="5" spans="1:12" ht="15" customHeight="1" x14ac:dyDescent="0.2">
      <c r="A5" s="339"/>
      <c r="L5" s="339"/>
    </row>
    <row r="6" spans="1:12" ht="33" customHeight="1" x14ac:dyDescent="0.2">
      <c r="A6" s="339"/>
      <c r="B6" s="973" t="s">
        <v>807</v>
      </c>
      <c r="C6" s="983"/>
      <c r="D6" s="983"/>
      <c r="E6" s="983"/>
      <c r="F6" s="983"/>
      <c r="G6" s="983"/>
      <c r="H6" s="983"/>
      <c r="I6" s="983"/>
      <c r="J6" s="983"/>
      <c r="K6" s="983"/>
      <c r="L6" s="341"/>
    </row>
    <row r="7" spans="1:12" ht="40.5" customHeight="1" x14ac:dyDescent="0.2">
      <c r="A7" s="339"/>
      <c r="B7" s="990" t="s">
        <v>536</v>
      </c>
      <c r="C7" s="991"/>
      <c r="D7" s="991"/>
      <c r="E7" s="991"/>
      <c r="F7" s="991"/>
      <c r="G7" s="991"/>
      <c r="H7" s="991"/>
      <c r="I7" s="991"/>
      <c r="J7" s="991"/>
      <c r="K7" s="991"/>
      <c r="L7" s="339"/>
    </row>
    <row r="8" spans="1:12" x14ac:dyDescent="0.2">
      <c r="A8" s="339"/>
      <c r="B8" s="977" t="s">
        <v>537</v>
      </c>
      <c r="C8" s="977"/>
      <c r="D8" s="977"/>
      <c r="E8" s="977"/>
      <c r="F8" s="977"/>
      <c r="G8" s="977"/>
      <c r="H8" s="977"/>
      <c r="I8" s="977"/>
      <c r="J8" s="977"/>
      <c r="K8" s="977"/>
      <c r="L8" s="339"/>
    </row>
    <row r="9" spans="1:12" x14ac:dyDescent="0.2">
      <c r="A9" s="339"/>
      <c r="L9" s="339"/>
    </row>
    <row r="10" spans="1:12" x14ac:dyDescent="0.2">
      <c r="A10" s="339"/>
      <c r="B10" s="977" t="s">
        <v>538</v>
      </c>
      <c r="C10" s="977"/>
      <c r="D10" s="977"/>
      <c r="E10" s="977"/>
      <c r="F10" s="977"/>
      <c r="G10" s="977"/>
      <c r="H10" s="977"/>
      <c r="I10" s="977"/>
      <c r="J10" s="977"/>
      <c r="K10" s="977"/>
      <c r="L10" s="339"/>
    </row>
    <row r="11" spans="1:12" x14ac:dyDescent="0.2">
      <c r="A11" s="339"/>
      <c r="B11" s="538"/>
      <c r="C11" s="538"/>
      <c r="D11" s="538"/>
      <c r="E11" s="538"/>
      <c r="F11" s="538"/>
      <c r="G11" s="538"/>
      <c r="H11" s="538"/>
      <c r="I11" s="538"/>
      <c r="J11" s="538"/>
      <c r="K11" s="538"/>
      <c r="L11" s="339"/>
    </row>
    <row r="12" spans="1:12" ht="32.25" customHeight="1" x14ac:dyDescent="0.2">
      <c r="A12" s="339"/>
      <c r="B12" s="974" t="s">
        <v>539</v>
      </c>
      <c r="C12" s="974"/>
      <c r="D12" s="974"/>
      <c r="E12" s="974"/>
      <c r="F12" s="974"/>
      <c r="G12" s="974"/>
      <c r="H12" s="974"/>
      <c r="I12" s="974"/>
      <c r="J12" s="974"/>
      <c r="K12" s="974"/>
      <c r="L12" s="339"/>
    </row>
    <row r="13" spans="1:12" x14ac:dyDescent="0.2">
      <c r="A13" s="339"/>
      <c r="L13" s="339"/>
    </row>
    <row r="14" spans="1:12" x14ac:dyDescent="0.2">
      <c r="A14" s="339"/>
      <c r="B14" s="342" t="s">
        <v>540</v>
      </c>
      <c r="L14" s="339"/>
    </row>
    <row r="15" spans="1:12" x14ac:dyDescent="0.2">
      <c r="A15" s="339"/>
      <c r="L15" s="339"/>
    </row>
    <row r="16" spans="1:12" x14ac:dyDescent="0.2">
      <c r="A16" s="339"/>
      <c r="B16" s="340" t="s">
        <v>541</v>
      </c>
      <c r="L16" s="339"/>
    </row>
    <row r="17" spans="1:12" x14ac:dyDescent="0.2">
      <c r="A17" s="339"/>
      <c r="B17" s="340" t="s">
        <v>542</v>
      </c>
      <c r="L17" s="339"/>
    </row>
    <row r="18" spans="1:12" x14ac:dyDescent="0.2">
      <c r="A18" s="339"/>
      <c r="L18" s="339"/>
    </row>
    <row r="19" spans="1:12" x14ac:dyDescent="0.2">
      <c r="A19" s="339"/>
      <c r="B19" s="342" t="s">
        <v>727</v>
      </c>
      <c r="L19" s="339"/>
    </row>
    <row r="20" spans="1:12" x14ac:dyDescent="0.2">
      <c r="A20" s="339"/>
      <c r="B20" s="342"/>
      <c r="L20" s="339"/>
    </row>
    <row r="21" spans="1:12" x14ac:dyDescent="0.2">
      <c r="A21" s="339"/>
      <c r="B21" s="340" t="s">
        <v>728</v>
      </c>
      <c r="L21" s="339"/>
    </row>
    <row r="22" spans="1:12" x14ac:dyDescent="0.2">
      <c r="A22" s="339"/>
      <c r="L22" s="339"/>
    </row>
    <row r="23" spans="1:12" x14ac:dyDescent="0.2">
      <c r="A23" s="339"/>
      <c r="B23" s="340" t="s">
        <v>543</v>
      </c>
      <c r="E23" s="340" t="s">
        <v>544</v>
      </c>
      <c r="F23" s="971">
        <v>312000000</v>
      </c>
      <c r="G23" s="971"/>
      <c r="L23" s="339"/>
    </row>
    <row r="24" spans="1:12" x14ac:dyDescent="0.2">
      <c r="A24" s="339"/>
      <c r="L24" s="339"/>
    </row>
    <row r="25" spans="1:12" x14ac:dyDescent="0.2">
      <c r="A25" s="339"/>
      <c r="C25" s="979">
        <f>F23</f>
        <v>312000000</v>
      </c>
      <c r="D25" s="979"/>
      <c r="E25" s="340" t="s">
        <v>545</v>
      </c>
      <c r="F25" s="343">
        <v>1000</v>
      </c>
      <c r="G25" s="343" t="s">
        <v>544</v>
      </c>
      <c r="H25" s="601">
        <f>F23/F25</f>
        <v>312000</v>
      </c>
      <c r="L25" s="339"/>
    </row>
    <row r="26" spans="1:12" ht="15" thickBot="1" x14ac:dyDescent="0.25">
      <c r="A26" s="339"/>
      <c r="L26" s="339"/>
    </row>
    <row r="27" spans="1:12" x14ac:dyDescent="0.2">
      <c r="A27" s="339"/>
      <c r="B27" s="344" t="s">
        <v>540</v>
      </c>
      <c r="C27" s="345"/>
      <c r="D27" s="345"/>
      <c r="E27" s="345"/>
      <c r="F27" s="345"/>
      <c r="G27" s="345"/>
      <c r="H27" s="345"/>
      <c r="I27" s="345"/>
      <c r="J27" s="345"/>
      <c r="K27" s="346"/>
      <c r="L27" s="339"/>
    </row>
    <row r="28" spans="1:12" x14ac:dyDescent="0.2">
      <c r="A28" s="339"/>
      <c r="B28" s="347">
        <f>F23</f>
        <v>312000000</v>
      </c>
      <c r="C28" s="348" t="s">
        <v>546</v>
      </c>
      <c r="D28" s="348"/>
      <c r="E28" s="348" t="s">
        <v>545</v>
      </c>
      <c r="F28" s="532">
        <v>1000</v>
      </c>
      <c r="G28" s="532" t="s">
        <v>544</v>
      </c>
      <c r="H28" s="602">
        <f>B28/F28</f>
        <v>312000</v>
      </c>
      <c r="I28" s="348" t="s">
        <v>547</v>
      </c>
      <c r="J28" s="348"/>
      <c r="K28" s="349"/>
      <c r="L28" s="339"/>
    </row>
    <row r="29" spans="1:12" ht="15" thickBot="1" x14ac:dyDescent="0.25">
      <c r="A29" s="339"/>
      <c r="B29" s="350"/>
      <c r="C29" s="351"/>
      <c r="D29" s="351"/>
      <c r="E29" s="351"/>
      <c r="F29" s="351"/>
      <c r="G29" s="351"/>
      <c r="H29" s="351"/>
      <c r="I29" s="351"/>
      <c r="J29" s="351"/>
      <c r="K29" s="352"/>
      <c r="L29" s="339"/>
    </row>
    <row r="30" spans="1:12" ht="40.5" customHeight="1" x14ac:dyDescent="0.2">
      <c r="A30" s="339"/>
      <c r="B30" s="965" t="s">
        <v>536</v>
      </c>
      <c r="C30" s="965"/>
      <c r="D30" s="965"/>
      <c r="E30" s="965"/>
      <c r="F30" s="965"/>
      <c r="G30" s="965"/>
      <c r="H30" s="965"/>
      <c r="I30" s="965"/>
      <c r="J30" s="965"/>
      <c r="K30" s="965"/>
      <c r="L30" s="339"/>
    </row>
    <row r="31" spans="1:12" x14ac:dyDescent="0.2">
      <c r="A31" s="339"/>
      <c r="B31" s="977" t="s">
        <v>548</v>
      </c>
      <c r="C31" s="977"/>
      <c r="D31" s="977"/>
      <c r="E31" s="977"/>
      <c r="F31" s="977"/>
      <c r="G31" s="977"/>
      <c r="H31" s="977"/>
      <c r="I31" s="977"/>
      <c r="J31" s="977"/>
      <c r="K31" s="977"/>
      <c r="L31" s="339"/>
    </row>
    <row r="32" spans="1:12" x14ac:dyDescent="0.2">
      <c r="A32" s="339"/>
      <c r="L32" s="339"/>
    </row>
    <row r="33" spans="1:12" x14ac:dyDescent="0.2">
      <c r="A33" s="339"/>
      <c r="B33" s="977" t="s">
        <v>549</v>
      </c>
      <c r="C33" s="977"/>
      <c r="D33" s="977"/>
      <c r="E33" s="977"/>
      <c r="F33" s="977"/>
      <c r="G33" s="977"/>
      <c r="H33" s="977"/>
      <c r="I33" s="977"/>
      <c r="J33" s="977"/>
      <c r="K33" s="977"/>
      <c r="L33" s="339"/>
    </row>
    <row r="34" spans="1:12" x14ac:dyDescent="0.2">
      <c r="A34" s="339"/>
      <c r="L34" s="339"/>
    </row>
    <row r="35" spans="1:12" ht="89.25" customHeight="1" x14ac:dyDescent="0.2">
      <c r="A35" s="339"/>
      <c r="B35" s="974" t="s">
        <v>550</v>
      </c>
      <c r="C35" s="978"/>
      <c r="D35" s="978"/>
      <c r="E35" s="978"/>
      <c r="F35" s="978"/>
      <c r="G35" s="978"/>
      <c r="H35" s="978"/>
      <c r="I35" s="978"/>
      <c r="J35" s="978"/>
      <c r="K35" s="978"/>
      <c r="L35" s="339"/>
    </row>
    <row r="36" spans="1:12" x14ac:dyDescent="0.2">
      <c r="A36" s="339"/>
      <c r="L36" s="339"/>
    </row>
    <row r="37" spans="1:12" x14ac:dyDescent="0.2">
      <c r="A37" s="339"/>
      <c r="B37" s="342" t="s">
        <v>551</v>
      </c>
      <c r="L37" s="339"/>
    </row>
    <row r="38" spans="1:12" x14ac:dyDescent="0.2">
      <c r="A38" s="339"/>
      <c r="L38" s="339"/>
    </row>
    <row r="39" spans="1:12" x14ac:dyDescent="0.2">
      <c r="A39" s="339"/>
      <c r="B39" s="340" t="s">
        <v>552</v>
      </c>
      <c r="L39" s="339"/>
    </row>
    <row r="40" spans="1:12" x14ac:dyDescent="0.2">
      <c r="A40" s="339"/>
      <c r="L40" s="339"/>
    </row>
    <row r="41" spans="1:12" x14ac:dyDescent="0.2">
      <c r="A41" s="339"/>
      <c r="C41" s="980">
        <v>312000000</v>
      </c>
      <c r="D41" s="980"/>
      <c r="E41" s="340" t="s">
        <v>545</v>
      </c>
      <c r="F41" s="343">
        <v>1000</v>
      </c>
      <c r="G41" s="343" t="s">
        <v>544</v>
      </c>
      <c r="H41" s="603">
        <f>C41/F41</f>
        <v>312000</v>
      </c>
      <c r="L41" s="339"/>
    </row>
    <row r="42" spans="1:12" x14ac:dyDescent="0.2">
      <c r="A42" s="339"/>
      <c r="L42" s="339"/>
    </row>
    <row r="43" spans="1:12" x14ac:dyDescent="0.2">
      <c r="A43" s="339"/>
      <c r="B43" s="340" t="s">
        <v>553</v>
      </c>
      <c r="L43" s="339"/>
    </row>
    <row r="44" spans="1:12" x14ac:dyDescent="0.2">
      <c r="A44" s="339"/>
      <c r="L44" s="339"/>
    </row>
    <row r="45" spans="1:12" x14ac:dyDescent="0.2">
      <c r="A45" s="339"/>
      <c r="B45" s="340" t="s">
        <v>554</v>
      </c>
      <c r="L45" s="339"/>
    </row>
    <row r="46" spans="1:12" ht="15" thickBot="1" x14ac:dyDescent="0.25">
      <c r="A46" s="339"/>
      <c r="L46" s="339"/>
    </row>
    <row r="47" spans="1:12" x14ac:dyDescent="0.2">
      <c r="A47" s="339"/>
      <c r="B47" s="353" t="s">
        <v>540</v>
      </c>
      <c r="C47" s="345"/>
      <c r="D47" s="345"/>
      <c r="E47" s="345"/>
      <c r="F47" s="345"/>
      <c r="G47" s="345"/>
      <c r="H47" s="345"/>
      <c r="I47" s="345"/>
      <c r="J47" s="345"/>
      <c r="K47" s="346"/>
      <c r="L47" s="339"/>
    </row>
    <row r="48" spans="1:12" x14ac:dyDescent="0.2">
      <c r="A48" s="339"/>
      <c r="B48" s="985">
        <v>312000000</v>
      </c>
      <c r="C48" s="971"/>
      <c r="D48" s="348" t="s">
        <v>555</v>
      </c>
      <c r="E48" s="348" t="s">
        <v>545</v>
      </c>
      <c r="F48" s="532">
        <v>1000</v>
      </c>
      <c r="G48" s="532" t="s">
        <v>544</v>
      </c>
      <c r="H48" s="602">
        <f>B48/F48</f>
        <v>312000</v>
      </c>
      <c r="I48" s="348" t="s">
        <v>556</v>
      </c>
      <c r="J48" s="348"/>
      <c r="K48" s="349"/>
      <c r="L48" s="339"/>
    </row>
    <row r="49" spans="1:24" x14ac:dyDescent="0.2">
      <c r="A49" s="339"/>
      <c r="B49" s="354"/>
      <c r="C49" s="348"/>
      <c r="D49" s="348"/>
      <c r="E49" s="348"/>
      <c r="F49" s="348"/>
      <c r="G49" s="348"/>
      <c r="H49" s="348"/>
      <c r="I49" s="348"/>
      <c r="J49" s="348"/>
      <c r="K49" s="349"/>
      <c r="L49" s="339"/>
    </row>
    <row r="50" spans="1:24" x14ac:dyDescent="0.2">
      <c r="A50" s="339"/>
      <c r="B50" s="355">
        <v>50000</v>
      </c>
      <c r="C50" s="348" t="s">
        <v>557</v>
      </c>
      <c r="D50" s="348"/>
      <c r="E50" s="348" t="s">
        <v>545</v>
      </c>
      <c r="F50" s="602">
        <f>H48</f>
        <v>312000</v>
      </c>
      <c r="G50" s="986" t="s">
        <v>558</v>
      </c>
      <c r="H50" s="987"/>
      <c r="I50" s="532" t="s">
        <v>544</v>
      </c>
      <c r="J50" s="356">
        <f>B50/F50</f>
        <v>0.16025641025641027</v>
      </c>
      <c r="K50" s="349"/>
      <c r="L50" s="339"/>
    </row>
    <row r="51" spans="1:24" ht="15" thickBot="1" x14ac:dyDescent="0.25">
      <c r="A51" s="339"/>
      <c r="B51" s="350"/>
      <c r="C51" s="351"/>
      <c r="D51" s="351"/>
      <c r="E51" s="351"/>
      <c r="F51" s="351"/>
      <c r="G51" s="351"/>
      <c r="H51" s="351"/>
      <c r="I51" s="988" t="s">
        <v>559</v>
      </c>
      <c r="J51" s="988"/>
      <c r="K51" s="989"/>
      <c r="L51" s="339"/>
      <c r="O51" s="445"/>
    </row>
    <row r="52" spans="1:24" ht="40.5" customHeight="1" x14ac:dyDescent="0.2">
      <c r="A52" s="339"/>
      <c r="B52" s="965" t="s">
        <v>536</v>
      </c>
      <c r="C52" s="965"/>
      <c r="D52" s="965"/>
      <c r="E52" s="965"/>
      <c r="F52" s="965"/>
      <c r="G52" s="965"/>
      <c r="H52" s="965"/>
      <c r="I52" s="965"/>
      <c r="J52" s="965"/>
      <c r="K52" s="965"/>
      <c r="L52" s="339"/>
    </row>
    <row r="53" spans="1:24" x14ac:dyDescent="0.2">
      <c r="A53" s="339"/>
      <c r="B53" s="977" t="s">
        <v>560</v>
      </c>
      <c r="C53" s="977"/>
      <c r="D53" s="977"/>
      <c r="E53" s="977"/>
      <c r="F53" s="977"/>
      <c r="G53" s="977"/>
      <c r="H53" s="977"/>
      <c r="I53" s="977"/>
      <c r="J53" s="977"/>
      <c r="K53" s="977"/>
      <c r="L53" s="339"/>
    </row>
    <row r="54" spans="1:24" x14ac:dyDescent="0.2">
      <c r="A54" s="339"/>
      <c r="B54" s="538"/>
      <c r="C54" s="538"/>
      <c r="D54" s="538"/>
      <c r="E54" s="538"/>
      <c r="F54" s="538"/>
      <c r="G54" s="538"/>
      <c r="H54" s="538"/>
      <c r="I54" s="538"/>
      <c r="J54" s="538"/>
      <c r="K54" s="538"/>
      <c r="L54" s="339"/>
    </row>
    <row r="55" spans="1:24" x14ac:dyDescent="0.2">
      <c r="A55" s="339"/>
      <c r="B55" s="973" t="s">
        <v>561</v>
      </c>
      <c r="C55" s="973"/>
      <c r="D55" s="973"/>
      <c r="E55" s="973"/>
      <c r="F55" s="973"/>
      <c r="G55" s="973"/>
      <c r="H55" s="973"/>
      <c r="I55" s="973"/>
      <c r="J55" s="973"/>
      <c r="K55" s="973"/>
      <c r="L55" s="339"/>
    </row>
    <row r="56" spans="1:24" ht="15" customHeight="1" x14ac:dyDescent="0.2">
      <c r="A56" s="339"/>
      <c r="L56" s="339"/>
    </row>
    <row r="57" spans="1:24" ht="74.25" customHeight="1" x14ac:dyDescent="0.2">
      <c r="A57" s="339"/>
      <c r="B57" s="974" t="s">
        <v>562</v>
      </c>
      <c r="C57" s="978"/>
      <c r="D57" s="978"/>
      <c r="E57" s="978"/>
      <c r="F57" s="978"/>
      <c r="G57" s="978"/>
      <c r="H57" s="978"/>
      <c r="I57" s="978"/>
      <c r="J57" s="978"/>
      <c r="K57" s="978"/>
      <c r="L57" s="339"/>
      <c r="M57" s="357"/>
      <c r="N57" s="358"/>
      <c r="O57" s="358"/>
      <c r="P57" s="358"/>
      <c r="Q57" s="358"/>
      <c r="R57" s="358"/>
      <c r="S57" s="358"/>
      <c r="T57" s="358"/>
      <c r="U57" s="358"/>
      <c r="V57" s="358"/>
      <c r="W57" s="358"/>
      <c r="X57" s="358"/>
    </row>
    <row r="58" spans="1:24" ht="15" customHeight="1" x14ac:dyDescent="0.2">
      <c r="A58" s="339"/>
      <c r="B58" s="974"/>
      <c r="C58" s="978"/>
      <c r="D58" s="978"/>
      <c r="E58" s="978"/>
      <c r="F58" s="978"/>
      <c r="G58" s="978"/>
      <c r="H58" s="978"/>
      <c r="I58" s="978"/>
      <c r="J58" s="978"/>
      <c r="K58" s="978"/>
      <c r="L58" s="339"/>
      <c r="M58" s="357"/>
      <c r="N58" s="358"/>
      <c r="O58" s="358"/>
      <c r="P58" s="358"/>
      <c r="Q58" s="358"/>
      <c r="R58" s="358"/>
      <c r="S58" s="358"/>
      <c r="T58" s="358"/>
      <c r="U58" s="358"/>
      <c r="V58" s="358"/>
      <c r="W58" s="358"/>
      <c r="X58" s="358"/>
    </row>
    <row r="59" spans="1:24" x14ac:dyDescent="0.2">
      <c r="A59" s="339"/>
      <c r="B59" s="342" t="s">
        <v>551</v>
      </c>
      <c r="L59" s="339"/>
      <c r="M59" s="358"/>
      <c r="N59" s="358"/>
      <c r="O59" s="358"/>
      <c r="P59" s="358"/>
      <c r="Q59" s="358"/>
      <c r="R59" s="358"/>
      <c r="S59" s="358"/>
      <c r="T59" s="358"/>
      <c r="U59" s="358"/>
      <c r="V59" s="358"/>
      <c r="W59" s="358"/>
      <c r="X59" s="358"/>
    </row>
    <row r="60" spans="1:24" x14ac:dyDescent="0.2">
      <c r="A60" s="339"/>
      <c r="L60" s="339"/>
      <c r="M60" s="358"/>
      <c r="N60" s="358"/>
      <c r="O60" s="358"/>
      <c r="P60" s="358"/>
      <c r="Q60" s="358"/>
      <c r="R60" s="358"/>
      <c r="S60" s="358"/>
      <c r="T60" s="358"/>
      <c r="U60" s="358"/>
      <c r="V60" s="358"/>
      <c r="W60" s="358"/>
      <c r="X60" s="358"/>
    </row>
    <row r="61" spans="1:24" x14ac:dyDescent="0.2">
      <c r="A61" s="339"/>
      <c r="B61" s="340" t="s">
        <v>563</v>
      </c>
      <c r="L61" s="339"/>
      <c r="M61" s="358"/>
      <c r="N61" s="358"/>
      <c r="O61" s="358"/>
      <c r="P61" s="358"/>
      <c r="Q61" s="358"/>
      <c r="R61" s="358"/>
      <c r="S61" s="358"/>
      <c r="T61" s="358"/>
      <c r="U61" s="358"/>
      <c r="V61" s="358"/>
      <c r="W61" s="358"/>
      <c r="X61" s="358"/>
    </row>
    <row r="62" spans="1:24" x14ac:dyDescent="0.2">
      <c r="A62" s="339"/>
      <c r="B62" s="340" t="s">
        <v>729</v>
      </c>
      <c r="L62" s="339"/>
      <c r="M62" s="358"/>
      <c r="N62" s="358"/>
      <c r="O62" s="358"/>
      <c r="P62" s="358"/>
      <c r="Q62" s="358"/>
      <c r="R62" s="358"/>
      <c r="S62" s="358"/>
      <c r="T62" s="358"/>
      <c r="U62" s="358"/>
      <c r="V62" s="358"/>
      <c r="W62" s="358"/>
      <c r="X62" s="358"/>
    </row>
    <row r="63" spans="1:24" x14ac:dyDescent="0.2">
      <c r="A63" s="339"/>
      <c r="B63" s="340" t="s">
        <v>730</v>
      </c>
      <c r="L63" s="339"/>
      <c r="M63" s="358"/>
      <c r="N63" s="358"/>
      <c r="O63" s="358"/>
      <c r="P63" s="358"/>
      <c r="Q63" s="358"/>
      <c r="R63" s="358"/>
      <c r="S63" s="358"/>
      <c r="T63" s="358"/>
      <c r="U63" s="358"/>
      <c r="V63" s="358"/>
      <c r="W63" s="358"/>
      <c r="X63" s="358"/>
    </row>
    <row r="64" spans="1:24" x14ac:dyDescent="0.2">
      <c r="A64" s="339"/>
      <c r="L64" s="339"/>
      <c r="M64" s="358"/>
      <c r="N64" s="358"/>
      <c r="O64" s="358"/>
      <c r="P64" s="358"/>
      <c r="Q64" s="358"/>
      <c r="R64" s="358"/>
      <c r="S64" s="358"/>
      <c r="T64" s="358"/>
      <c r="U64" s="358"/>
      <c r="V64" s="358"/>
      <c r="W64" s="358"/>
      <c r="X64" s="358"/>
    </row>
    <row r="65" spans="1:24" x14ac:dyDescent="0.2">
      <c r="A65" s="339"/>
      <c r="B65" s="340" t="s">
        <v>564</v>
      </c>
      <c r="L65" s="339"/>
      <c r="M65" s="358"/>
      <c r="N65" s="358"/>
      <c r="O65" s="358"/>
      <c r="P65" s="358"/>
      <c r="Q65" s="358"/>
      <c r="R65" s="358"/>
      <c r="S65" s="358"/>
      <c r="T65" s="358"/>
      <c r="U65" s="358"/>
      <c r="V65" s="358"/>
      <c r="W65" s="358"/>
      <c r="X65" s="358"/>
    </row>
    <row r="66" spans="1:24" x14ac:dyDescent="0.2">
      <c r="A66" s="339"/>
      <c r="B66" s="340" t="s">
        <v>565</v>
      </c>
      <c r="L66" s="339"/>
      <c r="M66" s="358"/>
      <c r="N66" s="358"/>
      <c r="O66" s="358"/>
      <c r="P66" s="358"/>
      <c r="Q66" s="358"/>
      <c r="R66" s="358"/>
      <c r="S66" s="358"/>
      <c r="T66" s="358"/>
      <c r="U66" s="358"/>
      <c r="V66" s="358"/>
      <c r="W66" s="358"/>
      <c r="X66" s="358"/>
    </row>
    <row r="67" spans="1:24" x14ac:dyDescent="0.2">
      <c r="A67" s="339"/>
      <c r="L67" s="339"/>
      <c r="M67" s="358"/>
      <c r="N67" s="358"/>
      <c r="O67" s="358"/>
      <c r="P67" s="358"/>
      <c r="Q67" s="358"/>
      <c r="R67" s="358"/>
      <c r="S67" s="358"/>
      <c r="T67" s="358"/>
      <c r="U67" s="358"/>
      <c r="V67" s="358"/>
      <c r="W67" s="358"/>
      <c r="X67" s="358"/>
    </row>
    <row r="68" spans="1:24" x14ac:dyDescent="0.2">
      <c r="A68" s="339"/>
      <c r="B68" s="340" t="s">
        <v>566</v>
      </c>
      <c r="L68" s="339"/>
      <c r="M68" s="359"/>
      <c r="N68" s="360"/>
      <c r="O68" s="360"/>
      <c r="P68" s="360"/>
      <c r="Q68" s="360"/>
      <c r="R68" s="360"/>
      <c r="S68" s="360"/>
      <c r="T68" s="360"/>
      <c r="U68" s="360"/>
      <c r="V68" s="360"/>
      <c r="W68" s="360"/>
      <c r="X68" s="358"/>
    </row>
    <row r="69" spans="1:24" x14ac:dyDescent="0.2">
      <c r="A69" s="339"/>
      <c r="B69" s="340" t="s">
        <v>731</v>
      </c>
      <c r="L69" s="339"/>
      <c r="M69" s="358"/>
      <c r="N69" s="358"/>
      <c r="O69" s="358"/>
      <c r="P69" s="358"/>
      <c r="Q69" s="358"/>
      <c r="R69" s="358"/>
      <c r="S69" s="358"/>
      <c r="T69" s="358"/>
      <c r="U69" s="358"/>
      <c r="V69" s="358"/>
      <c r="W69" s="358"/>
      <c r="X69" s="358"/>
    </row>
    <row r="70" spans="1:24" x14ac:dyDescent="0.2">
      <c r="A70" s="339"/>
      <c r="B70" s="340" t="s">
        <v>732</v>
      </c>
      <c r="L70" s="339"/>
      <c r="M70" s="358"/>
      <c r="N70" s="358"/>
      <c r="O70" s="358"/>
      <c r="P70" s="358"/>
      <c r="Q70" s="358"/>
      <c r="R70" s="358"/>
      <c r="S70" s="358"/>
      <c r="T70" s="358"/>
      <c r="U70" s="358"/>
      <c r="V70" s="358"/>
      <c r="W70" s="358"/>
      <c r="X70" s="358"/>
    </row>
    <row r="71" spans="1:24" ht="15" thickBot="1" x14ac:dyDescent="0.25">
      <c r="A71" s="339"/>
      <c r="B71" s="348"/>
      <c r="C71" s="348"/>
      <c r="D71" s="348"/>
      <c r="E71" s="348"/>
      <c r="F71" s="348"/>
      <c r="G71" s="348"/>
      <c r="H71" s="348"/>
      <c r="I71" s="348"/>
      <c r="J71" s="348"/>
      <c r="K71" s="348"/>
      <c r="L71" s="339"/>
    </row>
    <row r="72" spans="1:24" x14ac:dyDescent="0.2">
      <c r="A72" s="339"/>
      <c r="B72" s="344" t="s">
        <v>540</v>
      </c>
      <c r="C72" s="345"/>
      <c r="D72" s="345"/>
      <c r="E72" s="345"/>
      <c r="F72" s="345"/>
      <c r="G72" s="345"/>
      <c r="H72" s="345"/>
      <c r="I72" s="345"/>
      <c r="J72" s="345"/>
      <c r="K72" s="346"/>
      <c r="L72" s="361"/>
    </row>
    <row r="73" spans="1:24" x14ac:dyDescent="0.2">
      <c r="A73" s="339"/>
      <c r="B73" s="354"/>
      <c r="C73" s="348" t="s">
        <v>546</v>
      </c>
      <c r="D73" s="348"/>
      <c r="E73" s="348"/>
      <c r="F73" s="348"/>
      <c r="G73" s="348"/>
      <c r="H73" s="348"/>
      <c r="I73" s="348"/>
      <c r="J73" s="348"/>
      <c r="K73" s="349"/>
      <c r="L73" s="361"/>
    </row>
    <row r="74" spans="1:24" x14ac:dyDescent="0.2">
      <c r="A74" s="339"/>
      <c r="B74" s="354" t="s">
        <v>567</v>
      </c>
      <c r="C74" s="971">
        <v>312000000</v>
      </c>
      <c r="D74" s="971"/>
      <c r="E74" s="532" t="s">
        <v>545</v>
      </c>
      <c r="F74" s="532">
        <v>1000</v>
      </c>
      <c r="G74" s="532" t="s">
        <v>544</v>
      </c>
      <c r="H74" s="598">
        <f>C74/F74</f>
        <v>312000</v>
      </c>
      <c r="I74" s="348" t="s">
        <v>568</v>
      </c>
      <c r="J74" s="348"/>
      <c r="K74" s="349"/>
      <c r="L74" s="361"/>
    </row>
    <row r="75" spans="1:24" x14ac:dyDescent="0.2">
      <c r="A75" s="339"/>
      <c r="B75" s="354"/>
      <c r="C75" s="348"/>
      <c r="D75" s="348"/>
      <c r="E75" s="532"/>
      <c r="F75" s="348"/>
      <c r="G75" s="348"/>
      <c r="H75" s="348"/>
      <c r="I75" s="348"/>
      <c r="J75" s="348"/>
      <c r="K75" s="349"/>
      <c r="L75" s="361"/>
    </row>
    <row r="76" spans="1:24" x14ac:dyDescent="0.2">
      <c r="A76" s="339"/>
      <c r="B76" s="354"/>
      <c r="C76" s="348" t="s">
        <v>569</v>
      </c>
      <c r="D76" s="348"/>
      <c r="E76" s="532"/>
      <c r="F76" s="348" t="s">
        <v>568</v>
      </c>
      <c r="G76" s="348"/>
      <c r="H76" s="348"/>
      <c r="I76" s="348"/>
      <c r="J76" s="348"/>
      <c r="K76" s="349"/>
      <c r="L76" s="361"/>
    </row>
    <row r="77" spans="1:24" x14ac:dyDescent="0.2">
      <c r="A77" s="339"/>
      <c r="B77" s="354" t="s">
        <v>572</v>
      </c>
      <c r="C77" s="971">
        <v>50000</v>
      </c>
      <c r="D77" s="971"/>
      <c r="E77" s="532" t="s">
        <v>545</v>
      </c>
      <c r="F77" s="598">
        <f>H74</f>
        <v>312000</v>
      </c>
      <c r="G77" s="532" t="s">
        <v>544</v>
      </c>
      <c r="H77" s="356">
        <f>C77/F77</f>
        <v>0.16025641025641027</v>
      </c>
      <c r="I77" s="348" t="s">
        <v>570</v>
      </c>
      <c r="J77" s="348"/>
      <c r="K77" s="349"/>
      <c r="L77" s="361"/>
    </row>
    <row r="78" spans="1:24" x14ac:dyDescent="0.2">
      <c r="A78" s="339"/>
      <c r="B78" s="354"/>
      <c r="C78" s="348"/>
      <c r="D78" s="348"/>
      <c r="E78" s="532"/>
      <c r="F78" s="348"/>
      <c r="G78" s="348"/>
      <c r="H78" s="348"/>
      <c r="I78" s="348"/>
      <c r="J78" s="348"/>
      <c r="K78" s="349"/>
      <c r="L78" s="361"/>
    </row>
    <row r="79" spans="1:24" x14ac:dyDescent="0.2">
      <c r="A79" s="339"/>
      <c r="B79" s="362"/>
      <c r="C79" s="363" t="s">
        <v>571</v>
      </c>
      <c r="D79" s="363"/>
      <c r="E79" s="534"/>
      <c r="F79" s="363"/>
      <c r="G79" s="363"/>
      <c r="H79" s="363"/>
      <c r="I79" s="363"/>
      <c r="J79" s="363"/>
      <c r="K79" s="364"/>
      <c r="L79" s="361"/>
    </row>
    <row r="80" spans="1:24" x14ac:dyDescent="0.2">
      <c r="A80" s="339"/>
      <c r="B80" s="354" t="s">
        <v>645</v>
      </c>
      <c r="C80" s="971">
        <v>100000</v>
      </c>
      <c r="D80" s="971"/>
      <c r="E80" s="532" t="s">
        <v>10</v>
      </c>
      <c r="F80" s="532">
        <v>0.115</v>
      </c>
      <c r="G80" s="532" t="s">
        <v>544</v>
      </c>
      <c r="H80" s="530">
        <f>C80*F80</f>
        <v>11500</v>
      </c>
      <c r="I80" s="348" t="s">
        <v>573</v>
      </c>
      <c r="J80" s="348"/>
      <c r="K80" s="349"/>
      <c r="L80" s="361"/>
    </row>
    <row r="81" spans="1:12" x14ac:dyDescent="0.2">
      <c r="A81" s="339"/>
      <c r="B81" s="354"/>
      <c r="C81" s="348"/>
      <c r="D81" s="348"/>
      <c r="E81" s="532"/>
      <c r="F81" s="348"/>
      <c r="G81" s="348"/>
      <c r="H81" s="348"/>
      <c r="I81" s="348"/>
      <c r="J81" s="348"/>
      <c r="K81" s="349"/>
      <c r="L81" s="361"/>
    </row>
    <row r="82" spans="1:12" x14ac:dyDescent="0.2">
      <c r="A82" s="339"/>
      <c r="B82" s="362"/>
      <c r="C82" s="363" t="s">
        <v>574</v>
      </c>
      <c r="D82" s="363"/>
      <c r="E82" s="534"/>
      <c r="F82" s="363" t="s">
        <v>570</v>
      </c>
      <c r="G82" s="363"/>
      <c r="H82" s="363"/>
      <c r="I82" s="363"/>
      <c r="J82" s="363" t="s">
        <v>575</v>
      </c>
      <c r="K82" s="364"/>
      <c r="L82" s="361"/>
    </row>
    <row r="83" spans="1:12" x14ac:dyDescent="0.2">
      <c r="A83" s="339"/>
      <c r="B83" s="354" t="s">
        <v>646</v>
      </c>
      <c r="C83" s="975">
        <f>H80</f>
        <v>11500</v>
      </c>
      <c r="D83" s="975"/>
      <c r="E83" s="532" t="s">
        <v>10</v>
      </c>
      <c r="F83" s="356">
        <f>H77</f>
        <v>0.16025641025641027</v>
      </c>
      <c r="G83" s="532" t="s">
        <v>545</v>
      </c>
      <c r="H83" s="532">
        <v>1000</v>
      </c>
      <c r="I83" s="532" t="s">
        <v>544</v>
      </c>
      <c r="J83" s="531">
        <f>C83*F83/H83</f>
        <v>1.8429487179487181</v>
      </c>
      <c r="K83" s="349"/>
      <c r="L83" s="361"/>
    </row>
    <row r="84" spans="1:12" ht="15" thickBot="1" x14ac:dyDescent="0.25">
      <c r="A84" s="339"/>
      <c r="B84" s="350"/>
      <c r="C84" s="365"/>
      <c r="D84" s="365"/>
      <c r="E84" s="366"/>
      <c r="F84" s="367"/>
      <c r="G84" s="366"/>
      <c r="H84" s="366"/>
      <c r="I84" s="366"/>
      <c r="J84" s="368"/>
      <c r="K84" s="352"/>
      <c r="L84" s="361"/>
    </row>
    <row r="85" spans="1:12" ht="40.5" customHeight="1" x14ac:dyDescent="0.2">
      <c r="A85" s="339"/>
      <c r="B85" s="965" t="s">
        <v>536</v>
      </c>
      <c r="C85" s="965"/>
      <c r="D85" s="965"/>
      <c r="E85" s="965"/>
      <c r="F85" s="965"/>
      <c r="G85" s="965"/>
      <c r="H85" s="965"/>
      <c r="I85" s="965"/>
      <c r="J85" s="965"/>
      <c r="K85" s="965"/>
      <c r="L85" s="339"/>
    </row>
    <row r="86" spans="1:12" x14ac:dyDescent="0.2">
      <c r="A86" s="339"/>
      <c r="B86" s="973" t="s">
        <v>576</v>
      </c>
      <c r="C86" s="973"/>
      <c r="D86" s="973"/>
      <c r="E86" s="973"/>
      <c r="F86" s="973"/>
      <c r="G86" s="973"/>
      <c r="H86" s="973"/>
      <c r="I86" s="973"/>
      <c r="J86" s="973"/>
      <c r="K86" s="973"/>
      <c r="L86" s="339"/>
    </row>
    <row r="87" spans="1:12" x14ac:dyDescent="0.2">
      <c r="A87" s="339"/>
      <c r="B87" s="369"/>
      <c r="C87" s="369"/>
      <c r="D87" s="369"/>
      <c r="E87" s="369"/>
      <c r="F87" s="369"/>
      <c r="G87" s="369"/>
      <c r="H87" s="369"/>
      <c r="I87" s="369"/>
      <c r="J87" s="369"/>
      <c r="K87" s="369"/>
      <c r="L87" s="339"/>
    </row>
    <row r="88" spans="1:12" x14ac:dyDescent="0.2">
      <c r="A88" s="339"/>
      <c r="B88" s="973" t="s">
        <v>577</v>
      </c>
      <c r="C88" s="973"/>
      <c r="D88" s="973"/>
      <c r="E88" s="973"/>
      <c r="F88" s="973"/>
      <c r="G88" s="973"/>
      <c r="H88" s="973"/>
      <c r="I88" s="973"/>
      <c r="J88" s="973"/>
      <c r="K88" s="973"/>
      <c r="L88" s="339"/>
    </row>
    <row r="89" spans="1:12" x14ac:dyDescent="0.2">
      <c r="A89" s="339"/>
      <c r="B89" s="535"/>
      <c r="C89" s="535"/>
      <c r="D89" s="535"/>
      <c r="E89" s="535"/>
      <c r="F89" s="535"/>
      <c r="G89" s="535"/>
      <c r="H89" s="535"/>
      <c r="I89" s="535"/>
      <c r="J89" s="535"/>
      <c r="K89" s="535"/>
      <c r="L89" s="339"/>
    </row>
    <row r="90" spans="1:12" ht="45" customHeight="1" x14ac:dyDescent="0.2">
      <c r="A90" s="339"/>
      <c r="B90" s="974" t="s">
        <v>578</v>
      </c>
      <c r="C90" s="974"/>
      <c r="D90" s="974"/>
      <c r="E90" s="974"/>
      <c r="F90" s="974"/>
      <c r="G90" s="974"/>
      <c r="H90" s="974"/>
      <c r="I90" s="974"/>
      <c r="J90" s="974"/>
      <c r="K90" s="974"/>
      <c r="L90" s="339"/>
    </row>
    <row r="91" spans="1:12" ht="15" customHeight="1" thickBot="1" x14ac:dyDescent="0.25">
      <c r="A91" s="339"/>
      <c r="L91" s="339"/>
    </row>
    <row r="92" spans="1:12" ht="15" customHeight="1" x14ac:dyDescent="0.2">
      <c r="A92" s="339"/>
      <c r="B92" s="370" t="s">
        <v>540</v>
      </c>
      <c r="C92" s="371"/>
      <c r="D92" s="371"/>
      <c r="E92" s="371"/>
      <c r="F92" s="371"/>
      <c r="G92" s="371"/>
      <c r="H92" s="371"/>
      <c r="I92" s="371"/>
      <c r="J92" s="371"/>
      <c r="K92" s="372"/>
      <c r="L92" s="339"/>
    </row>
    <row r="93" spans="1:12" ht="15" customHeight="1" x14ac:dyDescent="0.2">
      <c r="A93" s="339"/>
      <c r="B93" s="373"/>
      <c r="C93" s="536" t="s">
        <v>546</v>
      </c>
      <c r="D93" s="536"/>
      <c r="E93" s="536"/>
      <c r="F93" s="536"/>
      <c r="G93" s="536"/>
      <c r="H93" s="536"/>
      <c r="I93" s="536"/>
      <c r="J93" s="536"/>
      <c r="K93" s="374"/>
      <c r="L93" s="339"/>
    </row>
    <row r="94" spans="1:12" ht="15" customHeight="1" x14ac:dyDescent="0.2">
      <c r="A94" s="339"/>
      <c r="B94" s="373" t="s">
        <v>567</v>
      </c>
      <c r="C94" s="971">
        <v>312000000</v>
      </c>
      <c r="D94" s="971"/>
      <c r="E94" s="532" t="s">
        <v>545</v>
      </c>
      <c r="F94" s="532">
        <v>1000</v>
      </c>
      <c r="G94" s="532" t="s">
        <v>544</v>
      </c>
      <c r="H94" s="598">
        <f>C94/F94</f>
        <v>312000</v>
      </c>
      <c r="I94" s="536" t="s">
        <v>568</v>
      </c>
      <c r="J94" s="536"/>
      <c r="K94" s="374"/>
      <c r="L94" s="339"/>
    </row>
    <row r="95" spans="1:12" ht="15" customHeight="1" x14ac:dyDescent="0.2">
      <c r="A95" s="339"/>
      <c r="B95" s="373"/>
      <c r="C95" s="536"/>
      <c r="D95" s="536"/>
      <c r="E95" s="532"/>
      <c r="F95" s="536"/>
      <c r="G95" s="536"/>
      <c r="H95" s="536"/>
      <c r="I95" s="536"/>
      <c r="J95" s="536"/>
      <c r="K95" s="374"/>
      <c r="L95" s="339"/>
    </row>
    <row r="96" spans="1:12" ht="15" customHeight="1" x14ac:dyDescent="0.2">
      <c r="A96" s="339"/>
      <c r="B96" s="373"/>
      <c r="C96" s="536" t="s">
        <v>569</v>
      </c>
      <c r="D96" s="536"/>
      <c r="E96" s="532"/>
      <c r="F96" s="536" t="s">
        <v>568</v>
      </c>
      <c r="G96" s="536"/>
      <c r="H96" s="536"/>
      <c r="I96" s="536"/>
      <c r="J96" s="536"/>
      <c r="K96" s="374"/>
      <c r="L96" s="339"/>
    </row>
    <row r="97" spans="1:12" ht="15" customHeight="1" x14ac:dyDescent="0.2">
      <c r="A97" s="339"/>
      <c r="B97" s="373" t="s">
        <v>572</v>
      </c>
      <c r="C97" s="971">
        <v>50000</v>
      </c>
      <c r="D97" s="971"/>
      <c r="E97" s="532" t="s">
        <v>545</v>
      </c>
      <c r="F97" s="598">
        <f>H94</f>
        <v>312000</v>
      </c>
      <c r="G97" s="532" t="s">
        <v>544</v>
      </c>
      <c r="H97" s="356">
        <f>C97/F97</f>
        <v>0.16025641025641027</v>
      </c>
      <c r="I97" s="536" t="s">
        <v>570</v>
      </c>
      <c r="J97" s="536"/>
      <c r="K97" s="374"/>
      <c r="L97" s="339"/>
    </row>
    <row r="98" spans="1:12" ht="15" customHeight="1" x14ac:dyDescent="0.2">
      <c r="A98" s="339"/>
      <c r="B98" s="373"/>
      <c r="C98" s="536"/>
      <c r="D98" s="536"/>
      <c r="E98" s="532"/>
      <c r="F98" s="536"/>
      <c r="G98" s="536"/>
      <c r="H98" s="536"/>
      <c r="I98" s="536"/>
      <c r="J98" s="536"/>
      <c r="K98" s="374"/>
      <c r="L98" s="339"/>
    </row>
    <row r="99" spans="1:12" ht="15" customHeight="1" x14ac:dyDescent="0.2">
      <c r="A99" s="339"/>
      <c r="B99" s="375"/>
      <c r="C99" s="376" t="s">
        <v>579</v>
      </c>
      <c r="D99" s="376"/>
      <c r="E99" s="534"/>
      <c r="F99" s="376"/>
      <c r="G99" s="376"/>
      <c r="H99" s="376"/>
      <c r="I99" s="376"/>
      <c r="J99" s="376"/>
      <c r="K99" s="377"/>
      <c r="L99" s="339"/>
    </row>
    <row r="100" spans="1:12" ht="15" customHeight="1" x14ac:dyDescent="0.2">
      <c r="A100" s="339"/>
      <c r="B100" s="373" t="s">
        <v>645</v>
      </c>
      <c r="C100" s="971">
        <v>2500000</v>
      </c>
      <c r="D100" s="971"/>
      <c r="E100" s="532" t="s">
        <v>10</v>
      </c>
      <c r="F100" s="378">
        <v>0.3</v>
      </c>
      <c r="G100" s="532" t="s">
        <v>544</v>
      </c>
      <c r="H100" s="530">
        <f>C100*F100</f>
        <v>750000</v>
      </c>
      <c r="I100" s="536" t="s">
        <v>573</v>
      </c>
      <c r="J100" s="536"/>
      <c r="K100" s="374"/>
      <c r="L100" s="339"/>
    </row>
    <row r="101" spans="1:12" ht="15" customHeight="1" x14ac:dyDescent="0.2">
      <c r="A101" s="339"/>
      <c r="B101" s="373"/>
      <c r="C101" s="536"/>
      <c r="D101" s="536"/>
      <c r="E101" s="532"/>
      <c r="F101" s="536"/>
      <c r="G101" s="536"/>
      <c r="H101" s="536"/>
      <c r="I101" s="536"/>
      <c r="J101" s="536"/>
      <c r="K101" s="374"/>
      <c r="L101" s="339"/>
    </row>
    <row r="102" spans="1:12" ht="15" customHeight="1" x14ac:dyDescent="0.2">
      <c r="A102" s="339"/>
      <c r="B102" s="375"/>
      <c r="C102" s="376" t="s">
        <v>574</v>
      </c>
      <c r="D102" s="376"/>
      <c r="E102" s="534"/>
      <c r="F102" s="376" t="s">
        <v>570</v>
      </c>
      <c r="G102" s="376"/>
      <c r="H102" s="376"/>
      <c r="I102" s="376"/>
      <c r="J102" s="376" t="s">
        <v>575</v>
      </c>
      <c r="K102" s="377"/>
      <c r="L102" s="339"/>
    </row>
    <row r="103" spans="1:12" ht="15" customHeight="1" x14ac:dyDescent="0.2">
      <c r="A103" s="339"/>
      <c r="B103" s="373" t="s">
        <v>646</v>
      </c>
      <c r="C103" s="975">
        <f>H100</f>
        <v>750000</v>
      </c>
      <c r="D103" s="975"/>
      <c r="E103" s="532" t="s">
        <v>10</v>
      </c>
      <c r="F103" s="356">
        <f>H97</f>
        <v>0.16025641025641027</v>
      </c>
      <c r="G103" s="532" t="s">
        <v>545</v>
      </c>
      <c r="H103" s="532">
        <v>1000</v>
      </c>
      <c r="I103" s="532" t="s">
        <v>544</v>
      </c>
      <c r="J103" s="531">
        <f>C103*F103/H103</f>
        <v>120.19230769230771</v>
      </c>
      <c r="K103" s="374"/>
      <c r="L103" s="339"/>
    </row>
    <row r="104" spans="1:12" ht="15" customHeight="1" thickBot="1" x14ac:dyDescent="0.25">
      <c r="A104" s="339"/>
      <c r="B104" s="379"/>
      <c r="C104" s="365"/>
      <c r="D104" s="365"/>
      <c r="E104" s="366"/>
      <c r="F104" s="367"/>
      <c r="G104" s="366"/>
      <c r="H104" s="366"/>
      <c r="I104" s="366"/>
      <c r="J104" s="368"/>
      <c r="K104" s="537"/>
      <c r="L104" s="339"/>
    </row>
    <row r="105" spans="1:12" ht="40.5" customHeight="1" x14ac:dyDescent="0.2">
      <c r="A105" s="339"/>
      <c r="B105" s="965" t="s">
        <v>536</v>
      </c>
      <c r="C105" s="966"/>
      <c r="D105" s="966"/>
      <c r="E105" s="966"/>
      <c r="F105" s="966"/>
      <c r="G105" s="966"/>
      <c r="H105" s="966"/>
      <c r="I105" s="966"/>
      <c r="J105" s="966"/>
      <c r="K105" s="966"/>
      <c r="L105" s="339"/>
    </row>
    <row r="106" spans="1:12" ht="15" customHeight="1" x14ac:dyDescent="0.2">
      <c r="A106" s="339"/>
      <c r="B106" s="982" t="s">
        <v>580</v>
      </c>
      <c r="C106" s="983"/>
      <c r="D106" s="983"/>
      <c r="E106" s="983"/>
      <c r="F106" s="983"/>
      <c r="G106" s="983"/>
      <c r="H106" s="983"/>
      <c r="I106" s="983"/>
      <c r="J106" s="983"/>
      <c r="K106" s="983"/>
      <c r="L106" s="339"/>
    </row>
    <row r="107" spans="1:12" ht="15" customHeight="1" x14ac:dyDescent="0.2">
      <c r="A107" s="339"/>
      <c r="B107" s="536"/>
      <c r="C107" s="380"/>
      <c r="D107" s="380"/>
      <c r="E107" s="532"/>
      <c r="F107" s="356"/>
      <c r="G107" s="532"/>
      <c r="H107" s="532"/>
      <c r="I107" s="532"/>
      <c r="J107" s="531"/>
      <c r="K107" s="536"/>
      <c r="L107" s="339"/>
    </row>
    <row r="108" spans="1:12" ht="15" customHeight="1" x14ac:dyDescent="0.2">
      <c r="A108" s="339"/>
      <c r="B108" s="982" t="s">
        <v>581</v>
      </c>
      <c r="C108" s="984"/>
      <c r="D108" s="984"/>
      <c r="E108" s="984"/>
      <c r="F108" s="984"/>
      <c r="G108" s="984"/>
      <c r="H108" s="984"/>
      <c r="I108" s="984"/>
      <c r="J108" s="984"/>
      <c r="K108" s="984"/>
      <c r="L108" s="339"/>
    </row>
    <row r="109" spans="1:12" ht="15" customHeight="1" x14ac:dyDescent="0.2">
      <c r="A109" s="339"/>
      <c r="B109" s="536"/>
      <c r="C109" s="380"/>
      <c r="D109" s="380"/>
      <c r="E109" s="532"/>
      <c r="F109" s="356"/>
      <c r="G109" s="532"/>
      <c r="H109" s="532"/>
      <c r="I109" s="532"/>
      <c r="J109" s="531"/>
      <c r="K109" s="536"/>
      <c r="L109" s="339"/>
    </row>
    <row r="110" spans="1:12" ht="59.25" customHeight="1" x14ac:dyDescent="0.2">
      <c r="A110" s="339"/>
      <c r="B110" s="981" t="s">
        <v>582</v>
      </c>
      <c r="C110" s="978"/>
      <c r="D110" s="978"/>
      <c r="E110" s="978"/>
      <c r="F110" s="978"/>
      <c r="G110" s="978"/>
      <c r="H110" s="978"/>
      <c r="I110" s="978"/>
      <c r="J110" s="978"/>
      <c r="K110" s="978"/>
      <c r="L110" s="339"/>
    </row>
    <row r="111" spans="1:12" ht="15" thickBot="1" x14ac:dyDescent="0.25">
      <c r="A111" s="339"/>
      <c r="B111" s="538"/>
      <c r="C111" s="538"/>
      <c r="D111" s="538"/>
      <c r="E111" s="538"/>
      <c r="F111" s="538"/>
      <c r="G111" s="538"/>
      <c r="H111" s="538"/>
      <c r="I111" s="538"/>
      <c r="J111" s="538"/>
      <c r="K111" s="538"/>
      <c r="L111" s="381"/>
    </row>
    <row r="112" spans="1:12" x14ac:dyDescent="0.2">
      <c r="A112" s="339"/>
      <c r="B112" s="344" t="s">
        <v>540</v>
      </c>
      <c r="C112" s="345"/>
      <c r="D112" s="345"/>
      <c r="E112" s="345"/>
      <c r="F112" s="345"/>
      <c r="G112" s="345"/>
      <c r="H112" s="345"/>
      <c r="I112" s="345"/>
      <c r="J112" s="345"/>
      <c r="K112" s="346"/>
      <c r="L112" s="339"/>
    </row>
    <row r="113" spans="1:12" x14ac:dyDescent="0.2">
      <c r="A113" s="339"/>
      <c r="B113" s="354"/>
      <c r="C113" s="348" t="s">
        <v>546</v>
      </c>
      <c r="D113" s="348"/>
      <c r="E113" s="348"/>
      <c r="F113" s="348"/>
      <c r="G113" s="348"/>
      <c r="H113" s="348"/>
      <c r="I113" s="348"/>
      <c r="J113" s="348"/>
      <c r="K113" s="349"/>
      <c r="L113" s="339"/>
    </row>
    <row r="114" spans="1:12" x14ac:dyDescent="0.2">
      <c r="A114" s="339"/>
      <c r="B114" s="354" t="s">
        <v>567</v>
      </c>
      <c r="C114" s="971">
        <v>312000000</v>
      </c>
      <c r="D114" s="971"/>
      <c r="E114" s="532" t="s">
        <v>545</v>
      </c>
      <c r="F114" s="532">
        <v>1000</v>
      </c>
      <c r="G114" s="532" t="s">
        <v>544</v>
      </c>
      <c r="H114" s="598">
        <f>C114/F114</f>
        <v>312000</v>
      </c>
      <c r="I114" s="348" t="s">
        <v>568</v>
      </c>
      <c r="J114" s="348"/>
      <c r="K114" s="349"/>
      <c r="L114" s="339"/>
    </row>
    <row r="115" spans="1:12" x14ac:dyDescent="0.2">
      <c r="A115" s="339"/>
      <c r="B115" s="354"/>
      <c r="C115" s="348"/>
      <c r="D115" s="348"/>
      <c r="E115" s="532"/>
      <c r="F115" s="348"/>
      <c r="G115" s="348"/>
      <c r="H115" s="348"/>
      <c r="I115" s="348"/>
      <c r="J115" s="348"/>
      <c r="K115" s="349"/>
      <c r="L115" s="339"/>
    </row>
    <row r="116" spans="1:12" x14ac:dyDescent="0.2">
      <c r="A116" s="339"/>
      <c r="B116" s="354"/>
      <c r="C116" s="348" t="s">
        <v>569</v>
      </c>
      <c r="D116" s="348"/>
      <c r="E116" s="532"/>
      <c r="F116" s="348" t="s">
        <v>568</v>
      </c>
      <c r="G116" s="348"/>
      <c r="H116" s="348"/>
      <c r="I116" s="348"/>
      <c r="J116" s="348"/>
      <c r="K116" s="349"/>
      <c r="L116" s="339"/>
    </row>
    <row r="117" spans="1:12" x14ac:dyDescent="0.2">
      <c r="A117" s="339"/>
      <c r="B117" s="354" t="s">
        <v>572</v>
      </c>
      <c r="C117" s="971">
        <v>50000</v>
      </c>
      <c r="D117" s="971"/>
      <c r="E117" s="532" t="s">
        <v>545</v>
      </c>
      <c r="F117" s="598">
        <f>H114</f>
        <v>312000</v>
      </c>
      <c r="G117" s="532" t="s">
        <v>544</v>
      </c>
      <c r="H117" s="356">
        <f>C117/F117</f>
        <v>0.16025641025641027</v>
      </c>
      <c r="I117" s="348" t="s">
        <v>570</v>
      </c>
      <c r="J117" s="348"/>
      <c r="K117" s="349"/>
      <c r="L117" s="339"/>
    </row>
    <row r="118" spans="1:12" x14ac:dyDescent="0.2">
      <c r="A118" s="339"/>
      <c r="B118" s="354"/>
      <c r="C118" s="348"/>
      <c r="D118" s="348"/>
      <c r="E118" s="532"/>
      <c r="F118" s="348"/>
      <c r="G118" s="348"/>
      <c r="H118" s="348"/>
      <c r="I118" s="348"/>
      <c r="J118" s="348"/>
      <c r="K118" s="349"/>
      <c r="L118" s="339"/>
    </row>
    <row r="119" spans="1:12" x14ac:dyDescent="0.2">
      <c r="A119" s="339"/>
      <c r="B119" s="362"/>
      <c r="C119" s="363" t="s">
        <v>579</v>
      </c>
      <c r="D119" s="363"/>
      <c r="E119" s="534"/>
      <c r="F119" s="363"/>
      <c r="G119" s="363"/>
      <c r="H119" s="363"/>
      <c r="I119" s="363"/>
      <c r="J119" s="363"/>
      <c r="K119" s="364"/>
      <c r="L119" s="339"/>
    </row>
    <row r="120" spans="1:12" x14ac:dyDescent="0.2">
      <c r="A120" s="339"/>
      <c r="B120" s="354" t="s">
        <v>645</v>
      </c>
      <c r="C120" s="971">
        <v>2500000</v>
      </c>
      <c r="D120" s="971"/>
      <c r="E120" s="532" t="s">
        <v>10</v>
      </c>
      <c r="F120" s="378">
        <v>0.25</v>
      </c>
      <c r="G120" s="532" t="s">
        <v>544</v>
      </c>
      <c r="H120" s="530">
        <f>C120*F120</f>
        <v>625000</v>
      </c>
      <c r="I120" s="348" t="s">
        <v>573</v>
      </c>
      <c r="J120" s="348"/>
      <c r="K120" s="349"/>
      <c r="L120" s="339"/>
    </row>
    <row r="121" spans="1:12" x14ac:dyDescent="0.2">
      <c r="A121" s="339"/>
      <c r="B121" s="354"/>
      <c r="C121" s="348"/>
      <c r="D121" s="348"/>
      <c r="E121" s="532"/>
      <c r="F121" s="348"/>
      <c r="G121" s="348"/>
      <c r="H121" s="348"/>
      <c r="I121" s="348"/>
      <c r="J121" s="348"/>
      <c r="K121" s="349"/>
      <c r="L121" s="339"/>
    </row>
    <row r="122" spans="1:12" x14ac:dyDescent="0.2">
      <c r="A122" s="339"/>
      <c r="B122" s="362"/>
      <c r="C122" s="363" t="s">
        <v>574</v>
      </c>
      <c r="D122" s="363"/>
      <c r="E122" s="534"/>
      <c r="F122" s="363" t="s">
        <v>570</v>
      </c>
      <c r="G122" s="363"/>
      <c r="H122" s="363"/>
      <c r="I122" s="363"/>
      <c r="J122" s="363" t="s">
        <v>575</v>
      </c>
      <c r="K122" s="364"/>
      <c r="L122" s="339"/>
    </row>
    <row r="123" spans="1:12" x14ac:dyDescent="0.2">
      <c r="A123" s="339"/>
      <c r="B123" s="354" t="s">
        <v>646</v>
      </c>
      <c r="C123" s="975">
        <f>H120</f>
        <v>625000</v>
      </c>
      <c r="D123" s="975"/>
      <c r="E123" s="532" t="s">
        <v>10</v>
      </c>
      <c r="F123" s="356">
        <f>H117</f>
        <v>0.16025641025641027</v>
      </c>
      <c r="G123" s="532" t="s">
        <v>545</v>
      </c>
      <c r="H123" s="532">
        <v>1000</v>
      </c>
      <c r="I123" s="532" t="s">
        <v>544</v>
      </c>
      <c r="J123" s="531">
        <f>C123*F123/H123</f>
        <v>100.16025641025642</v>
      </c>
      <c r="K123" s="349"/>
      <c r="L123" s="339"/>
    </row>
    <row r="124" spans="1:12" ht="15" thickBot="1" x14ac:dyDescent="0.25">
      <c r="A124" s="339"/>
      <c r="B124" s="350"/>
      <c r="C124" s="365"/>
      <c r="D124" s="365"/>
      <c r="E124" s="366"/>
      <c r="F124" s="367"/>
      <c r="G124" s="366"/>
      <c r="H124" s="366"/>
      <c r="I124" s="366"/>
      <c r="J124" s="368"/>
      <c r="K124" s="352"/>
      <c r="L124" s="339"/>
    </row>
    <row r="125" spans="1:12" ht="40.5" customHeight="1" x14ac:dyDescent="0.2">
      <c r="A125" s="339"/>
      <c r="B125" s="965" t="s">
        <v>536</v>
      </c>
      <c r="C125" s="965"/>
      <c r="D125" s="965"/>
      <c r="E125" s="965"/>
      <c r="F125" s="965"/>
      <c r="G125" s="965"/>
      <c r="H125" s="965"/>
      <c r="I125" s="965"/>
      <c r="J125" s="965"/>
      <c r="K125" s="965"/>
      <c r="L125" s="381"/>
    </row>
    <row r="126" spans="1:12" x14ac:dyDescent="0.2">
      <c r="A126" s="339"/>
      <c r="B126" s="973" t="s">
        <v>583</v>
      </c>
      <c r="C126" s="973"/>
      <c r="D126" s="973"/>
      <c r="E126" s="973"/>
      <c r="F126" s="973"/>
      <c r="G126" s="973"/>
      <c r="H126" s="973"/>
      <c r="I126" s="973"/>
      <c r="J126" s="973"/>
      <c r="K126" s="973"/>
      <c r="L126" s="381"/>
    </row>
    <row r="127" spans="1:12" x14ac:dyDescent="0.2">
      <c r="A127" s="339"/>
      <c r="B127" s="538"/>
      <c r="C127" s="538"/>
      <c r="D127" s="538"/>
      <c r="E127" s="538"/>
      <c r="F127" s="538"/>
      <c r="G127" s="538"/>
      <c r="H127" s="538"/>
      <c r="I127" s="538"/>
      <c r="J127" s="538"/>
      <c r="K127" s="538"/>
      <c r="L127" s="381"/>
    </row>
    <row r="128" spans="1:12" x14ac:dyDescent="0.2">
      <c r="A128" s="339"/>
      <c r="B128" s="973" t="s">
        <v>584</v>
      </c>
      <c r="C128" s="973"/>
      <c r="D128" s="973"/>
      <c r="E128" s="973"/>
      <c r="F128" s="973"/>
      <c r="G128" s="973"/>
      <c r="H128" s="973"/>
      <c r="I128" s="973"/>
      <c r="J128" s="973"/>
      <c r="K128" s="973"/>
      <c r="L128" s="381"/>
    </row>
    <row r="129" spans="1:12" x14ac:dyDescent="0.2">
      <c r="A129" s="339"/>
      <c r="B129" s="535"/>
      <c r="C129" s="535"/>
      <c r="D129" s="535"/>
      <c r="E129" s="535"/>
      <c r="F129" s="535"/>
      <c r="G129" s="535"/>
      <c r="H129" s="535"/>
      <c r="I129" s="535"/>
      <c r="J129" s="535"/>
      <c r="K129" s="535"/>
      <c r="L129" s="381"/>
    </row>
    <row r="130" spans="1:12" ht="74.25" customHeight="1" x14ac:dyDescent="0.2">
      <c r="A130" s="339"/>
      <c r="B130" s="974" t="s">
        <v>647</v>
      </c>
      <c r="C130" s="974"/>
      <c r="D130" s="974"/>
      <c r="E130" s="974"/>
      <c r="F130" s="974"/>
      <c r="G130" s="974"/>
      <c r="H130" s="974"/>
      <c r="I130" s="974"/>
      <c r="J130" s="974"/>
      <c r="K130" s="974"/>
      <c r="L130" s="381"/>
    </row>
    <row r="131" spans="1:12" ht="15" thickBot="1" x14ac:dyDescent="0.25">
      <c r="A131" s="339"/>
      <c r="L131" s="339"/>
    </row>
    <row r="132" spans="1:12" x14ac:dyDescent="0.2">
      <c r="A132" s="339"/>
      <c r="B132" s="344" t="s">
        <v>540</v>
      </c>
      <c r="C132" s="345"/>
      <c r="D132" s="345"/>
      <c r="E132" s="345"/>
      <c r="F132" s="345"/>
      <c r="G132" s="345"/>
      <c r="H132" s="345"/>
      <c r="I132" s="345"/>
      <c r="J132" s="345"/>
      <c r="K132" s="346"/>
      <c r="L132" s="339"/>
    </row>
    <row r="133" spans="1:12" x14ac:dyDescent="0.2">
      <c r="A133" s="339"/>
      <c r="B133" s="354"/>
      <c r="C133" s="976" t="s">
        <v>585</v>
      </c>
      <c r="D133" s="976"/>
      <c r="E133" s="348"/>
      <c r="F133" s="532" t="s">
        <v>586</v>
      </c>
      <c r="G133" s="348"/>
      <c r="H133" s="976" t="s">
        <v>573</v>
      </c>
      <c r="I133" s="976"/>
      <c r="J133" s="348"/>
      <c r="K133" s="349"/>
      <c r="L133" s="339"/>
    </row>
    <row r="134" spans="1:12" x14ac:dyDescent="0.2">
      <c r="A134" s="339"/>
      <c r="B134" s="354" t="s">
        <v>567</v>
      </c>
      <c r="C134" s="971">
        <v>100000</v>
      </c>
      <c r="D134" s="971"/>
      <c r="E134" s="532" t="s">
        <v>10</v>
      </c>
      <c r="F134" s="532">
        <v>0.115</v>
      </c>
      <c r="G134" s="532" t="s">
        <v>544</v>
      </c>
      <c r="H134" s="964">
        <f>C134*F134</f>
        <v>11500</v>
      </c>
      <c r="I134" s="964"/>
      <c r="J134" s="348"/>
      <c r="K134" s="349"/>
      <c r="L134" s="339"/>
    </row>
    <row r="135" spans="1:12" x14ac:dyDescent="0.2">
      <c r="A135" s="339"/>
      <c r="B135" s="354"/>
      <c r="C135" s="348"/>
      <c r="D135" s="348"/>
      <c r="E135" s="348"/>
      <c r="F135" s="348"/>
      <c r="G135" s="348"/>
      <c r="H135" s="348"/>
      <c r="I135" s="348"/>
      <c r="J135" s="348"/>
      <c r="K135" s="349"/>
      <c r="L135" s="339"/>
    </row>
    <row r="136" spans="1:12" x14ac:dyDescent="0.2">
      <c r="A136" s="339"/>
      <c r="B136" s="362"/>
      <c r="C136" s="972" t="s">
        <v>573</v>
      </c>
      <c r="D136" s="972"/>
      <c r="E136" s="363"/>
      <c r="F136" s="534" t="s">
        <v>587</v>
      </c>
      <c r="G136" s="534"/>
      <c r="H136" s="363"/>
      <c r="I136" s="363"/>
      <c r="J136" s="363" t="s">
        <v>588</v>
      </c>
      <c r="K136" s="364"/>
      <c r="L136" s="339"/>
    </row>
    <row r="137" spans="1:12" x14ac:dyDescent="0.2">
      <c r="A137" s="339"/>
      <c r="B137" s="354" t="s">
        <v>572</v>
      </c>
      <c r="C137" s="964">
        <f>H134</f>
        <v>11500</v>
      </c>
      <c r="D137" s="964"/>
      <c r="E137" s="532" t="s">
        <v>10</v>
      </c>
      <c r="F137" s="382">
        <v>52.869</v>
      </c>
      <c r="G137" s="532" t="s">
        <v>545</v>
      </c>
      <c r="H137" s="532">
        <v>1000</v>
      </c>
      <c r="I137" s="532" t="s">
        <v>544</v>
      </c>
      <c r="J137" s="383">
        <f>C137*F137/H137</f>
        <v>607.99350000000004</v>
      </c>
      <c r="K137" s="349"/>
      <c r="L137" s="339"/>
    </row>
    <row r="138" spans="1:12" ht="15" thickBot="1" x14ac:dyDescent="0.25">
      <c r="A138" s="339"/>
      <c r="B138" s="350"/>
      <c r="C138" s="446"/>
      <c r="D138" s="446"/>
      <c r="E138" s="366"/>
      <c r="F138" s="447"/>
      <c r="G138" s="366"/>
      <c r="H138" s="366"/>
      <c r="I138" s="366"/>
      <c r="J138" s="448"/>
      <c r="K138" s="352"/>
      <c r="L138" s="339"/>
    </row>
    <row r="139" spans="1:12" ht="40.5" customHeight="1" x14ac:dyDescent="0.2">
      <c r="A139" s="339"/>
      <c r="B139" s="433" t="s">
        <v>536</v>
      </c>
      <c r="C139" s="434"/>
      <c r="D139" s="434"/>
      <c r="E139" s="435"/>
      <c r="F139" s="436"/>
      <c r="G139" s="435"/>
      <c r="H139" s="435"/>
      <c r="I139" s="435"/>
      <c r="J139" s="437"/>
      <c r="K139" s="438"/>
      <c r="L139" s="339"/>
    </row>
    <row r="140" spans="1:12" x14ac:dyDescent="0.2">
      <c r="A140" s="339"/>
      <c r="B140" s="439" t="s">
        <v>648</v>
      </c>
      <c r="C140" s="440"/>
      <c r="D140" s="440"/>
      <c r="E140" s="441"/>
      <c r="F140" s="442"/>
      <c r="G140" s="441"/>
      <c r="H140" s="441"/>
      <c r="I140" s="441"/>
      <c r="J140" s="443"/>
      <c r="K140" s="444"/>
      <c r="L140" s="339"/>
    </row>
    <row r="141" spans="1:12" x14ac:dyDescent="0.2">
      <c r="A141" s="339"/>
      <c r="B141" s="354"/>
      <c r="C141" s="530"/>
      <c r="D141" s="530"/>
      <c r="E141" s="532"/>
      <c r="F141" s="449"/>
      <c r="G141" s="532"/>
      <c r="H141" s="532"/>
      <c r="I141" s="532"/>
      <c r="J141" s="383"/>
      <c r="K141" s="349"/>
      <c r="L141" s="339"/>
    </row>
    <row r="142" spans="1:12" x14ac:dyDescent="0.2">
      <c r="A142" s="339"/>
      <c r="B142" s="439" t="s">
        <v>649</v>
      </c>
      <c r="C142" s="440"/>
      <c r="D142" s="440"/>
      <c r="E142" s="441"/>
      <c r="F142" s="442"/>
      <c r="G142" s="441"/>
      <c r="H142" s="441"/>
      <c r="I142" s="441"/>
      <c r="J142" s="443"/>
      <c r="K142" s="444"/>
      <c r="L142" s="339"/>
    </row>
    <row r="143" spans="1:12" x14ac:dyDescent="0.2">
      <c r="A143" s="339"/>
      <c r="B143" s="354"/>
      <c r="C143" s="530"/>
      <c r="D143" s="530"/>
      <c r="E143" s="532"/>
      <c r="F143" s="449"/>
      <c r="G143" s="532"/>
      <c r="H143" s="532"/>
      <c r="I143" s="532"/>
      <c r="J143" s="383"/>
      <c r="K143" s="349"/>
      <c r="L143" s="339"/>
    </row>
    <row r="144" spans="1:12" ht="76.5" customHeight="1" x14ac:dyDescent="0.2">
      <c r="A144" s="339"/>
      <c r="B144" s="967" t="s">
        <v>650</v>
      </c>
      <c r="C144" s="968"/>
      <c r="D144" s="968"/>
      <c r="E144" s="968"/>
      <c r="F144" s="968"/>
      <c r="G144" s="968"/>
      <c r="H144" s="968"/>
      <c r="I144" s="968"/>
      <c r="J144" s="968"/>
      <c r="K144" s="969"/>
      <c r="L144" s="339"/>
    </row>
    <row r="145" spans="1:12" ht="15" thickBot="1" x14ac:dyDescent="0.25">
      <c r="A145" s="339"/>
      <c r="B145" s="354"/>
      <c r="C145" s="530"/>
      <c r="D145" s="530"/>
      <c r="E145" s="532"/>
      <c r="F145" s="449"/>
      <c r="G145" s="532"/>
      <c r="H145" s="532"/>
      <c r="I145" s="532"/>
      <c r="J145" s="383"/>
      <c r="K145" s="349"/>
      <c r="L145" s="339"/>
    </row>
    <row r="146" spans="1:12" x14ac:dyDescent="0.2">
      <c r="A146" s="339"/>
      <c r="B146" s="344" t="s">
        <v>540</v>
      </c>
      <c r="C146" s="450"/>
      <c r="D146" s="450"/>
      <c r="E146" s="451"/>
      <c r="F146" s="452"/>
      <c r="G146" s="451"/>
      <c r="H146" s="451"/>
      <c r="I146" s="451"/>
      <c r="J146" s="453"/>
      <c r="K146" s="346"/>
      <c r="L146" s="339"/>
    </row>
    <row r="147" spans="1:12" x14ac:dyDescent="0.2">
      <c r="A147" s="339"/>
      <c r="B147" s="354"/>
      <c r="C147" s="964" t="s">
        <v>651</v>
      </c>
      <c r="D147" s="964"/>
      <c r="E147" s="532"/>
      <c r="F147" s="449" t="s">
        <v>652</v>
      </c>
      <c r="G147" s="532"/>
      <c r="H147" s="532"/>
      <c r="I147" s="532"/>
      <c r="J147" s="962" t="s">
        <v>653</v>
      </c>
      <c r="K147" s="970"/>
      <c r="L147" s="339"/>
    </row>
    <row r="148" spans="1:12" x14ac:dyDescent="0.2">
      <c r="A148" s="339"/>
      <c r="B148" s="354"/>
      <c r="C148" s="961">
        <v>52.869</v>
      </c>
      <c r="D148" s="961"/>
      <c r="E148" s="532" t="s">
        <v>10</v>
      </c>
      <c r="F148" s="533">
        <v>312000000</v>
      </c>
      <c r="G148" s="454" t="s">
        <v>545</v>
      </c>
      <c r="H148" s="532">
        <v>1000</v>
      </c>
      <c r="I148" s="532" t="s">
        <v>544</v>
      </c>
      <c r="J148" s="962">
        <f>C148*(F148/1000)</f>
        <v>16495128</v>
      </c>
      <c r="K148" s="963"/>
      <c r="L148" s="339"/>
    </row>
    <row r="149" spans="1:12" ht="15" thickBot="1" x14ac:dyDescent="0.25">
      <c r="A149" s="339"/>
      <c r="B149" s="350"/>
      <c r="C149" s="446"/>
      <c r="D149" s="446"/>
      <c r="E149" s="366"/>
      <c r="F149" s="447"/>
      <c r="G149" s="366"/>
      <c r="H149" s="366"/>
      <c r="I149" s="366"/>
      <c r="J149" s="448"/>
      <c r="K149" s="352"/>
      <c r="L149" s="339"/>
    </row>
    <row r="150" spans="1:12" ht="15" thickBot="1" x14ac:dyDescent="0.25">
      <c r="A150" s="339"/>
      <c r="B150" s="350"/>
      <c r="C150" s="351"/>
      <c r="D150" s="351"/>
      <c r="E150" s="351"/>
      <c r="F150" s="351"/>
      <c r="G150" s="351"/>
      <c r="H150" s="351"/>
      <c r="I150" s="351"/>
      <c r="J150" s="351"/>
      <c r="K150" s="352"/>
      <c r="L150" s="339"/>
    </row>
    <row r="151" spans="1:12" x14ac:dyDescent="0.2">
      <c r="A151" s="339"/>
      <c r="B151" s="339"/>
      <c r="C151" s="339"/>
      <c r="D151" s="339"/>
      <c r="E151" s="339"/>
      <c r="F151" s="339"/>
      <c r="G151" s="339"/>
      <c r="H151" s="339"/>
      <c r="I151" s="339"/>
      <c r="J151" s="339"/>
      <c r="K151" s="339"/>
      <c r="L151" s="339"/>
    </row>
    <row r="152" spans="1:12" x14ac:dyDescent="0.2">
      <c r="A152" s="339"/>
      <c r="B152" s="339"/>
      <c r="C152" s="339"/>
      <c r="D152" s="339"/>
      <c r="E152" s="339"/>
      <c r="F152" s="339"/>
      <c r="G152" s="339"/>
      <c r="H152" s="339"/>
      <c r="I152" s="339"/>
      <c r="J152" s="339"/>
      <c r="K152" s="339"/>
      <c r="L152" s="339"/>
    </row>
    <row r="153" spans="1:12" x14ac:dyDescent="0.2">
      <c r="A153" s="339"/>
      <c r="B153" s="339"/>
      <c r="C153" s="339"/>
      <c r="D153" s="339"/>
      <c r="E153" s="339"/>
      <c r="F153" s="339"/>
      <c r="G153" s="339"/>
      <c r="H153" s="339"/>
      <c r="I153" s="339"/>
      <c r="J153" s="339"/>
      <c r="K153" s="339"/>
      <c r="L153" s="339"/>
    </row>
    <row r="154" spans="1:12" x14ac:dyDescent="0.2">
      <c r="A154" s="384"/>
      <c r="B154" s="384"/>
      <c r="C154" s="384"/>
      <c r="D154" s="384"/>
      <c r="E154" s="384"/>
      <c r="F154" s="384"/>
      <c r="G154" s="384"/>
      <c r="H154" s="384"/>
      <c r="I154" s="384"/>
      <c r="J154" s="384"/>
      <c r="K154" s="384"/>
      <c r="L154" s="384"/>
    </row>
    <row r="155" spans="1:12" x14ac:dyDescent="0.2">
      <c r="A155" s="384"/>
      <c r="B155" s="384"/>
      <c r="C155" s="384"/>
      <c r="D155" s="384"/>
      <c r="E155" s="384"/>
      <c r="F155" s="384"/>
      <c r="G155" s="384"/>
      <c r="H155" s="384"/>
      <c r="I155" s="384"/>
      <c r="J155" s="384"/>
      <c r="K155" s="384"/>
      <c r="L155" s="384"/>
    </row>
    <row r="156" spans="1:12" x14ac:dyDescent="0.2">
      <c r="A156" s="384"/>
      <c r="B156" s="384"/>
      <c r="C156" s="384"/>
      <c r="D156" s="384"/>
      <c r="E156" s="384"/>
      <c r="F156" s="384"/>
      <c r="G156" s="384"/>
      <c r="H156" s="384"/>
      <c r="I156" s="384"/>
      <c r="J156" s="384"/>
      <c r="K156" s="384"/>
      <c r="L156" s="384"/>
    </row>
    <row r="157" spans="1:12" x14ac:dyDescent="0.2">
      <c r="A157" s="384"/>
      <c r="B157" s="384"/>
      <c r="C157" s="384"/>
      <c r="D157" s="384"/>
      <c r="E157" s="384"/>
      <c r="F157" s="384"/>
      <c r="G157" s="384"/>
      <c r="H157" s="384"/>
      <c r="I157" s="384"/>
      <c r="J157" s="384"/>
      <c r="K157" s="384"/>
      <c r="L157" s="384"/>
    </row>
    <row r="158" spans="1:12" x14ac:dyDescent="0.2">
      <c r="A158" s="384"/>
      <c r="B158" s="384"/>
      <c r="C158" s="384"/>
      <c r="D158" s="384"/>
      <c r="E158" s="384"/>
      <c r="F158" s="384"/>
      <c r="G158" s="384"/>
      <c r="H158" s="384"/>
      <c r="I158" s="384"/>
      <c r="J158" s="384"/>
      <c r="K158" s="384"/>
      <c r="L158" s="384"/>
    </row>
    <row r="159" spans="1:12" x14ac:dyDescent="0.2">
      <c r="A159" s="384"/>
      <c r="B159" s="384"/>
      <c r="C159" s="384"/>
      <c r="D159" s="384"/>
      <c r="E159" s="384"/>
      <c r="F159" s="384"/>
      <c r="G159" s="384"/>
      <c r="H159" s="384"/>
      <c r="I159" s="384"/>
      <c r="J159" s="384"/>
      <c r="K159" s="384"/>
      <c r="L159" s="384"/>
    </row>
    <row r="160" spans="1:12" x14ac:dyDescent="0.2">
      <c r="A160" s="384"/>
      <c r="B160" s="384"/>
      <c r="C160" s="384"/>
      <c r="D160" s="384"/>
      <c r="E160" s="384"/>
      <c r="F160" s="384"/>
      <c r="G160" s="384"/>
      <c r="H160" s="384"/>
      <c r="I160" s="384"/>
      <c r="J160" s="384"/>
      <c r="K160" s="384"/>
      <c r="L160" s="384"/>
    </row>
    <row r="161" spans="1:12" x14ac:dyDescent="0.2">
      <c r="A161" s="384"/>
      <c r="B161" s="384"/>
      <c r="C161" s="384"/>
      <c r="D161" s="384"/>
      <c r="E161" s="384"/>
      <c r="F161" s="384"/>
      <c r="G161" s="384"/>
      <c r="H161" s="384"/>
      <c r="I161" s="384"/>
      <c r="J161" s="384"/>
      <c r="K161" s="384"/>
      <c r="L161" s="384"/>
    </row>
    <row r="162" spans="1:12" x14ac:dyDescent="0.2">
      <c r="A162" s="384"/>
      <c r="B162" s="384"/>
      <c r="C162" s="384"/>
      <c r="D162" s="384"/>
      <c r="E162" s="384"/>
      <c r="F162" s="384"/>
      <c r="G162" s="384"/>
      <c r="H162" s="384"/>
      <c r="I162" s="384"/>
      <c r="J162" s="384"/>
      <c r="K162" s="384"/>
      <c r="L162" s="384"/>
    </row>
    <row r="163" spans="1:12" x14ac:dyDescent="0.2">
      <c r="A163" s="384"/>
      <c r="B163" s="384"/>
      <c r="C163" s="384"/>
      <c r="D163" s="384"/>
      <c r="E163" s="384"/>
      <c r="F163" s="384"/>
      <c r="G163" s="384"/>
      <c r="H163" s="384"/>
      <c r="I163" s="384"/>
      <c r="J163" s="384"/>
      <c r="K163" s="384"/>
      <c r="L163" s="384"/>
    </row>
    <row r="164" spans="1:12" x14ac:dyDescent="0.2">
      <c r="A164" s="384"/>
      <c r="B164" s="384"/>
      <c r="C164" s="384"/>
      <c r="D164" s="384"/>
      <c r="E164" s="384"/>
      <c r="F164" s="384"/>
      <c r="G164" s="384"/>
      <c r="H164" s="384"/>
      <c r="I164" s="384"/>
      <c r="J164" s="384"/>
      <c r="K164" s="384"/>
      <c r="L164" s="384"/>
    </row>
    <row r="165" spans="1:12" x14ac:dyDescent="0.2">
      <c r="A165" s="384"/>
      <c r="B165" s="384"/>
      <c r="C165" s="384"/>
      <c r="D165" s="384"/>
      <c r="E165" s="384"/>
      <c r="F165" s="384"/>
      <c r="G165" s="384"/>
      <c r="H165" s="384"/>
      <c r="I165" s="384"/>
      <c r="J165" s="384"/>
      <c r="K165" s="384"/>
      <c r="L165" s="384"/>
    </row>
    <row r="166" spans="1:12" x14ac:dyDescent="0.2">
      <c r="A166" s="384"/>
      <c r="B166" s="384"/>
      <c r="C166" s="384"/>
      <c r="D166" s="384"/>
      <c r="E166" s="384"/>
      <c r="F166" s="384"/>
      <c r="G166" s="384"/>
      <c r="H166" s="384"/>
      <c r="I166" s="384"/>
      <c r="J166" s="384"/>
      <c r="K166" s="384"/>
      <c r="L166" s="384"/>
    </row>
    <row r="167" spans="1:12" x14ac:dyDescent="0.2">
      <c r="A167" s="384"/>
      <c r="B167" s="384"/>
      <c r="C167" s="384"/>
      <c r="D167" s="384"/>
      <c r="E167" s="384"/>
      <c r="F167" s="384"/>
      <c r="G167" s="384"/>
      <c r="H167" s="384"/>
      <c r="I167" s="384"/>
      <c r="J167" s="384"/>
      <c r="K167" s="384"/>
      <c r="L167" s="384"/>
    </row>
    <row r="168" spans="1:12" x14ac:dyDescent="0.2">
      <c r="A168" s="384"/>
      <c r="B168" s="384"/>
      <c r="C168" s="384"/>
      <c r="D168" s="384"/>
      <c r="E168" s="384"/>
      <c r="F168" s="384"/>
      <c r="G168" s="384"/>
      <c r="H168" s="384"/>
      <c r="I168" s="384"/>
      <c r="J168" s="384"/>
      <c r="K168" s="384"/>
      <c r="L168" s="384"/>
    </row>
    <row r="169" spans="1:12" x14ac:dyDescent="0.2">
      <c r="A169" s="384"/>
      <c r="B169" s="384"/>
      <c r="C169" s="384"/>
      <c r="D169" s="384"/>
      <c r="E169" s="384"/>
      <c r="F169" s="384"/>
      <c r="G169" s="384"/>
      <c r="H169" s="384"/>
      <c r="I169" s="384"/>
      <c r="J169" s="384"/>
      <c r="K169" s="384"/>
      <c r="L169" s="384"/>
    </row>
    <row r="170" spans="1:12" x14ac:dyDescent="0.2">
      <c r="A170" s="384"/>
      <c r="B170" s="384"/>
      <c r="C170" s="384"/>
      <c r="D170" s="384"/>
      <c r="E170" s="384"/>
      <c r="F170" s="384"/>
      <c r="G170" s="384"/>
      <c r="H170" s="384"/>
      <c r="I170" s="384"/>
      <c r="J170" s="384"/>
      <c r="K170" s="384"/>
      <c r="L170" s="384"/>
    </row>
    <row r="171" spans="1:12" x14ac:dyDescent="0.2">
      <c r="A171" s="384"/>
      <c r="B171" s="384"/>
      <c r="C171" s="384"/>
      <c r="D171" s="384"/>
      <c r="E171" s="384"/>
      <c r="F171" s="384"/>
      <c r="G171" s="384"/>
      <c r="H171" s="384"/>
      <c r="I171" s="384"/>
      <c r="J171" s="384"/>
      <c r="K171" s="384"/>
      <c r="L171" s="384"/>
    </row>
    <row r="172" spans="1:12" x14ac:dyDescent="0.2">
      <c r="A172" s="384"/>
      <c r="B172" s="384"/>
      <c r="C172" s="384"/>
      <c r="D172" s="384"/>
      <c r="E172" s="384"/>
      <c r="F172" s="384"/>
      <c r="G172" s="384"/>
      <c r="H172" s="384"/>
      <c r="I172" s="384"/>
      <c r="J172" s="384"/>
      <c r="K172" s="384"/>
      <c r="L172" s="384"/>
    </row>
    <row r="173" spans="1:12" x14ac:dyDescent="0.2">
      <c r="A173" s="384"/>
      <c r="B173" s="384"/>
      <c r="C173" s="384"/>
      <c r="D173" s="384"/>
      <c r="E173" s="384"/>
      <c r="F173" s="384"/>
      <c r="G173" s="384"/>
      <c r="H173" s="384"/>
      <c r="I173" s="384"/>
      <c r="J173" s="384"/>
      <c r="K173" s="384"/>
      <c r="L173" s="384"/>
    </row>
    <row r="174" spans="1:12" x14ac:dyDescent="0.2">
      <c r="A174" s="384"/>
      <c r="B174" s="384"/>
      <c r="C174" s="384"/>
      <c r="D174" s="384"/>
      <c r="E174" s="384"/>
      <c r="F174" s="384"/>
      <c r="G174" s="384"/>
      <c r="H174" s="384"/>
      <c r="I174" s="384"/>
      <c r="J174" s="384"/>
      <c r="K174" s="384"/>
      <c r="L174" s="384"/>
    </row>
    <row r="175" spans="1:12" x14ac:dyDescent="0.2">
      <c r="A175" s="384"/>
      <c r="B175" s="384"/>
      <c r="C175" s="384"/>
      <c r="D175" s="384"/>
      <c r="E175" s="384"/>
      <c r="F175" s="384"/>
      <c r="G175" s="384"/>
      <c r="H175" s="384"/>
      <c r="I175" s="384"/>
      <c r="J175" s="384"/>
      <c r="K175" s="384"/>
      <c r="L175" s="384"/>
    </row>
    <row r="176" spans="1:12" x14ac:dyDescent="0.2">
      <c r="A176" s="384"/>
      <c r="B176" s="384"/>
      <c r="C176" s="384"/>
      <c r="D176" s="384"/>
      <c r="E176" s="384"/>
      <c r="F176" s="384"/>
      <c r="G176" s="384"/>
      <c r="H176" s="384"/>
      <c r="I176" s="384"/>
      <c r="J176" s="384"/>
      <c r="K176" s="384"/>
      <c r="L176" s="384"/>
    </row>
    <row r="177" spans="1:12" x14ac:dyDescent="0.2">
      <c r="A177" s="384"/>
      <c r="B177" s="384"/>
      <c r="C177" s="384"/>
      <c r="D177" s="384"/>
      <c r="E177" s="384"/>
      <c r="F177" s="384"/>
      <c r="G177" s="384"/>
      <c r="H177" s="384"/>
      <c r="I177" s="384"/>
      <c r="J177" s="384"/>
      <c r="K177" s="384"/>
      <c r="L177" s="384"/>
    </row>
    <row r="178" spans="1:12" x14ac:dyDescent="0.2">
      <c r="A178" s="384"/>
      <c r="B178" s="384"/>
      <c r="C178" s="384"/>
      <c r="D178" s="384"/>
      <c r="E178" s="384"/>
      <c r="F178" s="384"/>
      <c r="G178" s="384"/>
      <c r="H178" s="384"/>
      <c r="I178" s="384"/>
      <c r="J178" s="384"/>
      <c r="K178" s="384"/>
      <c r="L178" s="384"/>
    </row>
    <row r="179" spans="1:12" x14ac:dyDescent="0.2">
      <c r="A179" s="384"/>
      <c r="B179" s="384"/>
      <c r="C179" s="384"/>
      <c r="D179" s="384"/>
      <c r="E179" s="384"/>
      <c r="F179" s="384"/>
      <c r="G179" s="384"/>
      <c r="H179" s="384"/>
      <c r="I179" s="384"/>
      <c r="J179" s="384"/>
      <c r="K179" s="384"/>
      <c r="L179" s="384"/>
    </row>
    <row r="180" spans="1:12" x14ac:dyDescent="0.2">
      <c r="A180" s="384"/>
      <c r="B180" s="384"/>
      <c r="C180" s="384"/>
      <c r="D180" s="384"/>
      <c r="E180" s="384"/>
      <c r="F180" s="384"/>
      <c r="G180" s="384"/>
      <c r="H180" s="384"/>
      <c r="I180" s="384"/>
      <c r="J180" s="384"/>
      <c r="K180" s="384"/>
      <c r="L180" s="384"/>
    </row>
    <row r="181" spans="1:12" x14ac:dyDescent="0.2">
      <c r="A181" s="384"/>
      <c r="B181" s="384"/>
      <c r="C181" s="384"/>
      <c r="D181" s="384"/>
      <c r="E181" s="384"/>
      <c r="F181" s="384"/>
      <c r="G181" s="384"/>
      <c r="H181" s="384"/>
      <c r="I181" s="384"/>
      <c r="J181" s="384"/>
      <c r="K181" s="384"/>
      <c r="L181" s="384"/>
    </row>
    <row r="182" spans="1:12" x14ac:dyDescent="0.2">
      <c r="A182" s="384"/>
      <c r="B182" s="384"/>
      <c r="C182" s="384"/>
      <c r="D182" s="384"/>
      <c r="E182" s="384"/>
      <c r="F182" s="384"/>
      <c r="G182" s="384"/>
      <c r="H182" s="384"/>
      <c r="I182" s="384"/>
      <c r="J182" s="384"/>
      <c r="K182" s="384"/>
      <c r="L182" s="384"/>
    </row>
    <row r="183" spans="1:12" x14ac:dyDescent="0.2">
      <c r="A183" s="384"/>
      <c r="B183" s="384"/>
      <c r="C183" s="384"/>
      <c r="D183" s="384"/>
      <c r="E183" s="384"/>
      <c r="F183" s="384"/>
      <c r="G183" s="384"/>
      <c r="H183" s="384"/>
      <c r="I183" s="384"/>
      <c r="J183" s="384"/>
      <c r="K183" s="384"/>
      <c r="L183" s="384"/>
    </row>
    <row r="184" spans="1:12" x14ac:dyDescent="0.2">
      <c r="A184" s="384"/>
      <c r="B184" s="384"/>
      <c r="C184" s="384"/>
      <c r="D184" s="384"/>
      <c r="E184" s="384"/>
      <c r="F184" s="384"/>
      <c r="G184" s="384"/>
      <c r="H184" s="384"/>
      <c r="I184" s="384"/>
      <c r="J184" s="384"/>
      <c r="K184" s="384"/>
      <c r="L184" s="384"/>
    </row>
    <row r="185" spans="1:12" x14ac:dyDescent="0.2">
      <c r="A185" s="384"/>
      <c r="B185" s="384"/>
      <c r="C185" s="384"/>
      <c r="D185" s="384"/>
      <c r="E185" s="384"/>
      <c r="F185" s="384"/>
      <c r="G185" s="384"/>
      <c r="H185" s="384"/>
      <c r="I185" s="384"/>
      <c r="J185" s="384"/>
      <c r="K185" s="384"/>
      <c r="L185" s="384"/>
    </row>
    <row r="186" spans="1:12" x14ac:dyDescent="0.2">
      <c r="A186" s="384"/>
      <c r="B186" s="384"/>
      <c r="C186" s="384"/>
      <c r="D186" s="384"/>
      <c r="E186" s="384"/>
      <c r="F186" s="384"/>
      <c r="G186" s="384"/>
      <c r="H186" s="384"/>
      <c r="I186" s="384"/>
      <c r="J186" s="384"/>
      <c r="K186" s="384"/>
      <c r="L186" s="384"/>
    </row>
    <row r="187" spans="1:12" x14ac:dyDescent="0.2">
      <c r="A187" s="384"/>
      <c r="B187" s="384"/>
      <c r="C187" s="384"/>
      <c r="D187" s="384"/>
      <c r="E187" s="384"/>
      <c r="F187" s="384"/>
      <c r="G187" s="384"/>
      <c r="H187" s="384"/>
      <c r="I187" s="384"/>
      <c r="J187" s="384"/>
      <c r="K187" s="384"/>
      <c r="L187" s="384"/>
    </row>
    <row r="188" spans="1:12" x14ac:dyDescent="0.2">
      <c r="A188" s="384"/>
      <c r="B188" s="384"/>
      <c r="C188" s="384"/>
      <c r="D188" s="384"/>
      <c r="E188" s="384"/>
      <c r="F188" s="384"/>
      <c r="G188" s="384"/>
      <c r="H188" s="384"/>
      <c r="I188" s="384"/>
      <c r="J188" s="384"/>
      <c r="K188" s="384"/>
      <c r="L188" s="384"/>
    </row>
    <row r="189" spans="1:12" x14ac:dyDescent="0.2">
      <c r="A189" s="384"/>
      <c r="B189" s="384"/>
      <c r="C189" s="384"/>
      <c r="D189" s="384"/>
      <c r="E189" s="384"/>
      <c r="F189" s="384"/>
      <c r="G189" s="384"/>
      <c r="H189" s="384"/>
      <c r="I189" s="384"/>
      <c r="J189" s="384"/>
      <c r="K189" s="384"/>
      <c r="L189" s="384"/>
    </row>
    <row r="190" spans="1:12" x14ac:dyDescent="0.2">
      <c r="A190" s="384"/>
      <c r="B190" s="384"/>
      <c r="C190" s="384"/>
      <c r="D190" s="384"/>
      <c r="E190" s="384"/>
      <c r="F190" s="384"/>
      <c r="G190" s="384"/>
      <c r="H190" s="384"/>
      <c r="I190" s="384"/>
      <c r="J190" s="384"/>
      <c r="K190" s="384"/>
      <c r="L190" s="384"/>
    </row>
    <row r="191" spans="1:12" x14ac:dyDescent="0.2">
      <c r="A191" s="384"/>
      <c r="B191" s="384"/>
      <c r="C191" s="384"/>
      <c r="D191" s="384"/>
      <c r="E191" s="384"/>
      <c r="F191" s="384"/>
      <c r="G191" s="384"/>
      <c r="H191" s="384"/>
      <c r="I191" s="384"/>
      <c r="J191" s="384"/>
      <c r="K191" s="384"/>
      <c r="L191" s="384"/>
    </row>
    <row r="192" spans="1:12" x14ac:dyDescent="0.2">
      <c r="A192" s="384"/>
      <c r="B192" s="384"/>
      <c r="C192" s="384"/>
      <c r="D192" s="384"/>
      <c r="E192" s="384"/>
      <c r="F192" s="384"/>
      <c r="G192" s="384"/>
      <c r="H192" s="384"/>
      <c r="I192" s="384"/>
      <c r="J192" s="384"/>
      <c r="K192" s="384"/>
      <c r="L192" s="384"/>
    </row>
    <row r="193" spans="1:12" x14ac:dyDescent="0.2">
      <c r="A193" s="384"/>
      <c r="B193" s="384"/>
      <c r="C193" s="384"/>
      <c r="D193" s="384"/>
      <c r="E193" s="384"/>
      <c r="F193" s="384"/>
      <c r="G193" s="384"/>
      <c r="H193" s="384"/>
      <c r="I193" s="384"/>
      <c r="J193" s="384"/>
      <c r="K193" s="384"/>
      <c r="L193" s="384"/>
    </row>
    <row r="194" spans="1:12" x14ac:dyDescent="0.2">
      <c r="A194" s="384"/>
      <c r="B194" s="384"/>
      <c r="C194" s="384"/>
      <c r="D194" s="384"/>
      <c r="E194" s="384"/>
      <c r="F194" s="384"/>
      <c r="G194" s="384"/>
      <c r="H194" s="384"/>
      <c r="I194" s="384"/>
      <c r="J194" s="384"/>
      <c r="K194" s="384"/>
      <c r="L194" s="384"/>
    </row>
    <row r="195" spans="1:12" x14ac:dyDescent="0.2">
      <c r="A195" s="384"/>
      <c r="B195" s="384"/>
      <c r="C195" s="384"/>
      <c r="D195" s="384"/>
      <c r="E195" s="384"/>
      <c r="F195" s="384"/>
      <c r="G195" s="384"/>
      <c r="H195" s="384"/>
      <c r="I195" s="384"/>
      <c r="J195" s="384"/>
      <c r="K195" s="384"/>
      <c r="L195" s="384"/>
    </row>
    <row r="196" spans="1:12" x14ac:dyDescent="0.2">
      <c r="A196" s="384"/>
      <c r="B196" s="384"/>
      <c r="C196" s="384"/>
      <c r="D196" s="384"/>
      <c r="E196" s="384"/>
      <c r="F196" s="384"/>
      <c r="G196" s="384"/>
      <c r="H196" s="384"/>
      <c r="I196" s="384"/>
      <c r="J196" s="384"/>
      <c r="K196" s="384"/>
      <c r="L196" s="384"/>
    </row>
    <row r="197" spans="1:12" x14ac:dyDescent="0.2">
      <c r="A197" s="384"/>
      <c r="B197" s="384"/>
      <c r="C197" s="384"/>
      <c r="D197" s="384"/>
      <c r="E197" s="384"/>
      <c r="F197" s="384"/>
      <c r="G197" s="384"/>
      <c r="H197" s="384"/>
      <c r="I197" s="384"/>
      <c r="J197" s="384"/>
      <c r="K197" s="384"/>
      <c r="L197" s="384"/>
    </row>
    <row r="198" spans="1:12" x14ac:dyDescent="0.2">
      <c r="A198" s="384"/>
      <c r="B198" s="384"/>
      <c r="C198" s="384"/>
      <c r="D198" s="384"/>
      <c r="E198" s="384"/>
      <c r="F198" s="384"/>
      <c r="G198" s="384"/>
      <c r="H198" s="384"/>
      <c r="I198" s="384"/>
      <c r="J198" s="384"/>
      <c r="K198" s="384"/>
      <c r="L198" s="384"/>
    </row>
    <row r="199" spans="1:12" x14ac:dyDescent="0.2">
      <c r="A199" s="384"/>
      <c r="B199" s="384"/>
      <c r="C199" s="384"/>
      <c r="D199" s="384"/>
      <c r="E199" s="384"/>
      <c r="F199" s="384"/>
      <c r="G199" s="384"/>
      <c r="H199" s="384"/>
      <c r="I199" s="384"/>
      <c r="J199" s="384"/>
      <c r="K199" s="384"/>
      <c r="L199" s="384"/>
    </row>
    <row r="200" spans="1:12" x14ac:dyDescent="0.2">
      <c r="A200" s="384"/>
      <c r="B200" s="384"/>
      <c r="C200" s="384"/>
      <c r="D200" s="384"/>
      <c r="E200" s="384"/>
      <c r="F200" s="384"/>
      <c r="G200" s="384"/>
      <c r="H200" s="384"/>
      <c r="I200" s="384"/>
      <c r="J200" s="384"/>
      <c r="K200" s="384"/>
      <c r="L200" s="384"/>
    </row>
    <row r="201" spans="1:12" x14ac:dyDescent="0.2">
      <c r="A201" s="384"/>
      <c r="B201" s="384"/>
      <c r="C201" s="384"/>
      <c r="D201" s="384"/>
      <c r="E201" s="384"/>
      <c r="F201" s="384"/>
      <c r="G201" s="384"/>
      <c r="H201" s="384"/>
      <c r="I201" s="384"/>
      <c r="J201" s="384"/>
      <c r="K201" s="384"/>
      <c r="L201" s="384"/>
    </row>
    <row r="202" spans="1:12" x14ac:dyDescent="0.2">
      <c r="A202" s="384"/>
      <c r="B202" s="384"/>
      <c r="C202" s="384"/>
      <c r="D202" s="384"/>
      <c r="E202" s="384"/>
      <c r="F202" s="384"/>
      <c r="G202" s="384"/>
      <c r="H202" s="384"/>
      <c r="I202" s="384"/>
      <c r="J202" s="384"/>
      <c r="K202" s="384"/>
      <c r="L202" s="384"/>
    </row>
    <row r="203" spans="1:12" x14ac:dyDescent="0.2">
      <c r="A203" s="384"/>
      <c r="B203" s="384"/>
      <c r="C203" s="384"/>
      <c r="D203" s="384"/>
      <c r="E203" s="384"/>
      <c r="F203" s="384"/>
      <c r="G203" s="384"/>
      <c r="H203" s="384"/>
      <c r="I203" s="384"/>
      <c r="J203" s="384"/>
      <c r="K203" s="384"/>
      <c r="L203" s="384"/>
    </row>
    <row r="204" spans="1:12" x14ac:dyDescent="0.2">
      <c r="A204" s="384"/>
      <c r="B204" s="384"/>
      <c r="C204" s="384"/>
      <c r="D204" s="384"/>
      <c r="E204" s="384"/>
      <c r="F204" s="384"/>
      <c r="G204" s="384"/>
      <c r="H204" s="384"/>
      <c r="I204" s="384"/>
      <c r="J204" s="384"/>
      <c r="K204" s="384"/>
      <c r="L204" s="384"/>
    </row>
    <row r="205" spans="1:12" x14ac:dyDescent="0.2">
      <c r="A205" s="384"/>
      <c r="B205" s="384"/>
      <c r="C205" s="384"/>
      <c r="D205" s="384"/>
      <c r="E205" s="384"/>
      <c r="F205" s="384"/>
      <c r="G205" s="384"/>
      <c r="H205" s="384"/>
      <c r="I205" s="384"/>
      <c r="J205" s="384"/>
      <c r="K205" s="384"/>
      <c r="L205" s="384"/>
    </row>
    <row r="206" spans="1:12" x14ac:dyDescent="0.2">
      <c r="A206" s="384"/>
      <c r="B206" s="384"/>
      <c r="C206" s="384"/>
      <c r="D206" s="384"/>
      <c r="E206" s="384"/>
      <c r="F206" s="384"/>
      <c r="G206" s="384"/>
      <c r="H206" s="384"/>
      <c r="I206" s="384"/>
      <c r="J206" s="384"/>
      <c r="K206" s="384"/>
      <c r="L206" s="384"/>
    </row>
    <row r="207" spans="1:12" x14ac:dyDescent="0.2">
      <c r="A207" s="384"/>
      <c r="B207" s="384"/>
      <c r="C207" s="384"/>
      <c r="D207" s="384"/>
      <c r="E207" s="384"/>
      <c r="F207" s="384"/>
      <c r="G207" s="384"/>
      <c r="H207" s="384"/>
      <c r="I207" s="384"/>
      <c r="J207" s="384"/>
      <c r="K207" s="384"/>
      <c r="L207" s="384"/>
    </row>
    <row r="208" spans="1:12" x14ac:dyDescent="0.2">
      <c r="A208" s="384"/>
      <c r="B208" s="384"/>
      <c r="C208" s="384"/>
      <c r="D208" s="384"/>
      <c r="E208" s="384"/>
      <c r="F208" s="384"/>
      <c r="G208" s="384"/>
      <c r="H208" s="384"/>
      <c r="I208" s="384"/>
      <c r="J208" s="384"/>
      <c r="K208" s="384"/>
      <c r="L208" s="384"/>
    </row>
    <row r="209" spans="1:12" x14ac:dyDescent="0.2">
      <c r="A209" s="384"/>
      <c r="B209" s="384"/>
      <c r="C209" s="384"/>
      <c r="D209" s="384"/>
      <c r="E209" s="384"/>
      <c r="F209" s="384"/>
      <c r="G209" s="384"/>
      <c r="H209" s="384"/>
      <c r="I209" s="384"/>
      <c r="J209" s="384"/>
      <c r="K209" s="384"/>
      <c r="L209" s="384"/>
    </row>
    <row r="210" spans="1:12" x14ac:dyDescent="0.2">
      <c r="A210" s="384"/>
      <c r="B210" s="384"/>
      <c r="C210" s="384"/>
      <c r="D210" s="384"/>
      <c r="E210" s="384"/>
      <c r="F210" s="384"/>
      <c r="G210" s="384"/>
      <c r="H210" s="384"/>
      <c r="I210" s="384"/>
      <c r="J210" s="384"/>
      <c r="K210" s="384"/>
      <c r="L210" s="384"/>
    </row>
    <row r="211" spans="1:12" x14ac:dyDescent="0.2">
      <c r="A211" s="384"/>
      <c r="B211" s="384"/>
      <c r="C211" s="384"/>
      <c r="D211" s="384"/>
      <c r="E211" s="384"/>
      <c r="F211" s="384"/>
      <c r="G211" s="384"/>
      <c r="H211" s="384"/>
      <c r="I211" s="384"/>
      <c r="J211" s="384"/>
      <c r="K211" s="384"/>
      <c r="L211" s="384"/>
    </row>
    <row r="212" spans="1:12" x14ac:dyDescent="0.2">
      <c r="A212" s="384"/>
      <c r="B212" s="384"/>
      <c r="C212" s="384"/>
      <c r="D212" s="384"/>
      <c r="E212" s="384"/>
      <c r="F212" s="384"/>
      <c r="G212" s="384"/>
      <c r="H212" s="384"/>
      <c r="I212" s="384"/>
      <c r="J212" s="384"/>
      <c r="K212" s="384"/>
      <c r="L212" s="384"/>
    </row>
    <row r="213" spans="1:12" x14ac:dyDescent="0.2">
      <c r="A213" s="384"/>
      <c r="B213" s="384"/>
      <c r="C213" s="384"/>
      <c r="D213" s="384"/>
      <c r="E213" s="384"/>
      <c r="F213" s="384"/>
      <c r="G213" s="384"/>
      <c r="H213" s="384"/>
      <c r="I213" s="384"/>
      <c r="J213" s="384"/>
      <c r="K213" s="384"/>
      <c r="L213" s="384"/>
    </row>
    <row r="214" spans="1:12" x14ac:dyDescent="0.2">
      <c r="A214" s="384"/>
      <c r="B214" s="384"/>
      <c r="C214" s="384"/>
      <c r="D214" s="384"/>
      <c r="E214" s="384"/>
      <c r="F214" s="384"/>
      <c r="G214" s="384"/>
      <c r="H214" s="384"/>
      <c r="I214" s="384"/>
      <c r="J214" s="384"/>
      <c r="K214" s="384"/>
      <c r="L214" s="384"/>
    </row>
    <row r="215" spans="1:12" x14ac:dyDescent="0.2">
      <c r="A215" s="384"/>
      <c r="B215" s="384"/>
      <c r="C215" s="384"/>
      <c r="D215" s="384"/>
      <c r="E215" s="384"/>
      <c r="F215" s="384"/>
      <c r="G215" s="384"/>
      <c r="H215" s="384"/>
      <c r="I215" s="384"/>
      <c r="J215" s="384"/>
      <c r="K215" s="384"/>
      <c r="L215" s="384"/>
    </row>
    <row r="216" spans="1:12" x14ac:dyDescent="0.2">
      <c r="A216" s="384"/>
      <c r="B216" s="384"/>
      <c r="C216" s="384"/>
      <c r="D216" s="384"/>
      <c r="E216" s="384"/>
      <c r="F216" s="384"/>
      <c r="G216" s="384"/>
      <c r="H216" s="384"/>
      <c r="I216" s="384"/>
      <c r="J216" s="384"/>
      <c r="K216" s="384"/>
      <c r="L216" s="384"/>
    </row>
    <row r="217" spans="1:12" x14ac:dyDescent="0.2">
      <c r="A217" s="384"/>
      <c r="B217" s="384"/>
      <c r="C217" s="384"/>
      <c r="D217" s="384"/>
      <c r="E217" s="384"/>
      <c r="F217" s="384"/>
      <c r="G217" s="384"/>
      <c r="H217" s="384"/>
      <c r="I217" s="384"/>
      <c r="J217" s="384"/>
      <c r="K217" s="384"/>
      <c r="L217" s="384"/>
    </row>
    <row r="218" spans="1:12" x14ac:dyDescent="0.2">
      <c r="A218" s="384"/>
      <c r="B218" s="384"/>
      <c r="C218" s="384"/>
      <c r="D218" s="384"/>
      <c r="E218" s="384"/>
      <c r="F218" s="384"/>
      <c r="G218" s="384"/>
      <c r="H218" s="384"/>
      <c r="I218" s="384"/>
      <c r="J218" s="384"/>
      <c r="K218" s="384"/>
      <c r="L218" s="384"/>
    </row>
    <row r="219" spans="1:12" x14ac:dyDescent="0.2">
      <c r="A219" s="384"/>
      <c r="B219" s="384"/>
      <c r="C219" s="384"/>
      <c r="D219" s="384"/>
      <c r="E219" s="384"/>
      <c r="F219" s="384"/>
      <c r="G219" s="384"/>
      <c r="H219" s="384"/>
      <c r="I219" s="384"/>
      <c r="J219" s="384"/>
      <c r="K219" s="384"/>
      <c r="L219" s="384"/>
    </row>
    <row r="220" spans="1:12" x14ac:dyDescent="0.2">
      <c r="A220" s="384"/>
      <c r="B220" s="384"/>
      <c r="C220" s="384"/>
      <c r="D220" s="384"/>
      <c r="E220" s="384"/>
      <c r="F220" s="384"/>
      <c r="G220" s="384"/>
      <c r="H220" s="384"/>
      <c r="I220" s="384"/>
      <c r="J220" s="384"/>
      <c r="K220" s="384"/>
      <c r="L220" s="384"/>
    </row>
    <row r="221" spans="1:12" x14ac:dyDescent="0.2">
      <c r="A221" s="384"/>
      <c r="B221" s="384"/>
      <c r="C221" s="384"/>
      <c r="D221" s="384"/>
      <c r="E221" s="384"/>
      <c r="F221" s="384"/>
      <c r="G221" s="384"/>
      <c r="H221" s="384"/>
      <c r="I221" s="384"/>
      <c r="J221" s="384"/>
      <c r="K221" s="384"/>
      <c r="L221" s="384"/>
    </row>
    <row r="222" spans="1:12" x14ac:dyDescent="0.2">
      <c r="A222" s="384"/>
      <c r="B222" s="384"/>
      <c r="C222" s="384"/>
      <c r="D222" s="384"/>
      <c r="E222" s="384"/>
      <c r="F222" s="384"/>
      <c r="G222" s="384"/>
      <c r="H222" s="384"/>
      <c r="I222" s="384"/>
      <c r="J222" s="384"/>
      <c r="K222" s="384"/>
      <c r="L222" s="384"/>
    </row>
    <row r="223" spans="1:12" x14ac:dyDescent="0.2">
      <c r="A223" s="384"/>
      <c r="B223" s="384"/>
      <c r="C223" s="384"/>
      <c r="D223" s="384"/>
      <c r="E223" s="384"/>
      <c r="F223" s="384"/>
      <c r="G223" s="384"/>
      <c r="H223" s="384"/>
      <c r="I223" s="384"/>
      <c r="J223" s="384"/>
      <c r="K223" s="384"/>
      <c r="L223" s="384"/>
    </row>
    <row r="224" spans="1:12" x14ac:dyDescent="0.2">
      <c r="A224" s="384"/>
      <c r="B224" s="384"/>
      <c r="C224" s="384"/>
      <c r="D224" s="384"/>
      <c r="E224" s="384"/>
      <c r="F224" s="384"/>
      <c r="G224" s="384"/>
      <c r="H224" s="384"/>
      <c r="I224" s="384"/>
      <c r="J224" s="384"/>
      <c r="K224" s="384"/>
      <c r="L224" s="384"/>
    </row>
    <row r="225" spans="1:12" x14ac:dyDescent="0.2">
      <c r="A225" s="384"/>
      <c r="B225" s="384"/>
      <c r="C225" s="384"/>
      <c r="D225" s="384"/>
      <c r="E225" s="384"/>
      <c r="F225" s="384"/>
      <c r="G225" s="384"/>
      <c r="H225" s="384"/>
      <c r="I225" s="384"/>
      <c r="J225" s="384"/>
      <c r="K225" s="384"/>
      <c r="L225" s="384"/>
    </row>
    <row r="226" spans="1:12" x14ac:dyDescent="0.2">
      <c r="A226" s="384"/>
      <c r="B226" s="384"/>
      <c r="C226" s="384"/>
      <c r="D226" s="384"/>
      <c r="E226" s="384"/>
      <c r="F226" s="384"/>
      <c r="G226" s="384"/>
      <c r="H226" s="384"/>
      <c r="I226" s="384"/>
      <c r="J226" s="384"/>
      <c r="K226" s="384"/>
      <c r="L226" s="384"/>
    </row>
    <row r="227" spans="1:12" x14ac:dyDescent="0.2">
      <c r="A227" s="384"/>
      <c r="B227" s="384"/>
      <c r="C227" s="384"/>
      <c r="D227" s="384"/>
      <c r="E227" s="384"/>
      <c r="F227" s="384"/>
      <c r="G227" s="384"/>
      <c r="H227" s="384"/>
      <c r="I227" s="384"/>
      <c r="J227" s="384"/>
      <c r="K227" s="384"/>
      <c r="L227" s="384"/>
    </row>
    <row r="228" spans="1:12" x14ac:dyDescent="0.2">
      <c r="A228" s="384"/>
      <c r="B228" s="384"/>
      <c r="C228" s="384"/>
      <c r="D228" s="384"/>
      <c r="E228" s="384"/>
      <c r="F228" s="384"/>
      <c r="G228" s="384"/>
      <c r="H228" s="384"/>
      <c r="I228" s="384"/>
      <c r="J228" s="384"/>
      <c r="K228" s="384"/>
      <c r="L228" s="384"/>
    </row>
    <row r="229" spans="1:12" x14ac:dyDescent="0.2">
      <c r="A229" s="384"/>
      <c r="B229" s="384"/>
      <c r="C229" s="384"/>
      <c r="D229" s="384"/>
      <c r="E229" s="384"/>
      <c r="F229" s="384"/>
      <c r="G229" s="384"/>
      <c r="H229" s="384"/>
      <c r="I229" s="384"/>
      <c r="J229" s="384"/>
      <c r="K229" s="384"/>
      <c r="L229" s="384"/>
    </row>
    <row r="230" spans="1:12" x14ac:dyDescent="0.2">
      <c r="A230" s="384"/>
      <c r="B230" s="384"/>
      <c r="C230" s="384"/>
      <c r="D230" s="384"/>
      <c r="E230" s="384"/>
      <c r="F230" s="384"/>
      <c r="G230" s="384"/>
      <c r="H230" s="384"/>
      <c r="I230" s="384"/>
      <c r="J230" s="384"/>
      <c r="K230" s="384"/>
      <c r="L230" s="384"/>
    </row>
    <row r="231" spans="1:12" x14ac:dyDescent="0.2">
      <c r="A231" s="384"/>
      <c r="B231" s="384"/>
      <c r="C231" s="384"/>
      <c r="D231" s="384"/>
      <c r="E231" s="384"/>
      <c r="F231" s="384"/>
      <c r="G231" s="384"/>
      <c r="H231" s="384"/>
      <c r="I231" s="384"/>
      <c r="J231" s="384"/>
      <c r="K231" s="384"/>
      <c r="L231" s="384"/>
    </row>
    <row r="232" spans="1:12" x14ac:dyDescent="0.2">
      <c r="A232" s="384"/>
      <c r="B232" s="384"/>
      <c r="C232" s="384"/>
      <c r="D232" s="384"/>
      <c r="E232" s="384"/>
      <c r="F232" s="384"/>
      <c r="G232" s="384"/>
      <c r="H232" s="384"/>
      <c r="I232" s="384"/>
      <c r="J232" s="384"/>
      <c r="K232" s="384"/>
      <c r="L232" s="384"/>
    </row>
    <row r="233" spans="1:12" x14ac:dyDescent="0.2">
      <c r="A233" s="384"/>
      <c r="B233" s="384"/>
      <c r="C233" s="384"/>
      <c r="D233" s="384"/>
      <c r="E233" s="384"/>
      <c r="F233" s="384"/>
      <c r="G233" s="384"/>
      <c r="H233" s="384"/>
      <c r="I233" s="384"/>
      <c r="J233" s="384"/>
      <c r="K233" s="384"/>
      <c r="L233" s="384"/>
    </row>
    <row r="234" spans="1:12" x14ac:dyDescent="0.2">
      <c r="A234" s="384"/>
      <c r="B234" s="384"/>
      <c r="C234" s="384"/>
      <c r="D234" s="384"/>
      <c r="E234" s="384"/>
      <c r="F234" s="384"/>
      <c r="G234" s="384"/>
      <c r="H234" s="384"/>
      <c r="I234" s="384"/>
      <c r="J234" s="384"/>
      <c r="K234" s="384"/>
      <c r="L234" s="384"/>
    </row>
    <row r="235" spans="1:12" x14ac:dyDescent="0.2">
      <c r="A235" s="384"/>
      <c r="B235" s="384"/>
      <c r="C235" s="384"/>
      <c r="D235" s="384"/>
      <c r="E235" s="384"/>
      <c r="F235" s="384"/>
      <c r="G235" s="384"/>
      <c r="H235" s="384"/>
      <c r="I235" s="384"/>
      <c r="J235" s="384"/>
      <c r="K235" s="384"/>
      <c r="L235" s="384"/>
    </row>
    <row r="236" spans="1:12" x14ac:dyDescent="0.2">
      <c r="A236" s="384"/>
      <c r="B236" s="384"/>
      <c r="C236" s="384"/>
      <c r="D236" s="384"/>
      <c r="E236" s="384"/>
      <c r="F236" s="384"/>
      <c r="G236" s="384"/>
      <c r="H236" s="384"/>
      <c r="I236" s="384"/>
      <c r="J236" s="384"/>
      <c r="K236" s="384"/>
      <c r="L236" s="384"/>
    </row>
    <row r="237" spans="1:12" x14ac:dyDescent="0.2">
      <c r="A237" s="384"/>
      <c r="B237" s="384"/>
      <c r="C237" s="384"/>
      <c r="D237" s="384"/>
      <c r="E237" s="384"/>
      <c r="F237" s="384"/>
      <c r="G237" s="384"/>
      <c r="H237" s="384"/>
      <c r="I237" s="384"/>
      <c r="J237" s="384"/>
      <c r="K237" s="384"/>
      <c r="L237" s="384"/>
    </row>
    <row r="238" spans="1:12" x14ac:dyDescent="0.2">
      <c r="A238" s="384"/>
      <c r="B238" s="384"/>
      <c r="C238" s="384"/>
      <c r="D238" s="384"/>
      <c r="E238" s="384"/>
      <c r="F238" s="384"/>
      <c r="G238" s="384"/>
      <c r="H238" s="384"/>
      <c r="I238" s="384"/>
      <c r="J238" s="384"/>
      <c r="K238" s="384"/>
      <c r="L238" s="384"/>
    </row>
    <row r="239" spans="1:12" x14ac:dyDescent="0.2">
      <c r="A239" s="384"/>
      <c r="B239" s="384"/>
      <c r="C239" s="384"/>
      <c r="D239" s="384"/>
      <c r="E239" s="384"/>
      <c r="F239" s="384"/>
      <c r="G239" s="384"/>
      <c r="H239" s="384"/>
      <c r="I239" s="384"/>
      <c r="J239" s="384"/>
      <c r="K239" s="384"/>
      <c r="L239" s="384"/>
    </row>
    <row r="240" spans="1:12" x14ac:dyDescent="0.2">
      <c r="A240" s="384"/>
      <c r="B240" s="384"/>
      <c r="C240" s="384"/>
      <c r="D240" s="384"/>
      <c r="E240" s="384"/>
      <c r="F240" s="384"/>
      <c r="G240" s="384"/>
      <c r="H240" s="384"/>
      <c r="I240" s="384"/>
      <c r="J240" s="384"/>
      <c r="K240" s="384"/>
      <c r="L240" s="384"/>
    </row>
    <row r="241" spans="1:12" x14ac:dyDescent="0.2">
      <c r="A241" s="384"/>
      <c r="B241" s="384"/>
      <c r="C241" s="384"/>
      <c r="D241" s="384"/>
      <c r="E241" s="384"/>
      <c r="F241" s="384"/>
      <c r="G241" s="384"/>
      <c r="H241" s="384"/>
      <c r="I241" s="384"/>
      <c r="J241" s="384"/>
      <c r="K241" s="384"/>
      <c r="L241" s="384"/>
    </row>
    <row r="242" spans="1:12" x14ac:dyDescent="0.2">
      <c r="A242" s="384"/>
      <c r="B242" s="384"/>
      <c r="C242" s="384"/>
      <c r="D242" s="384"/>
      <c r="E242" s="384"/>
      <c r="F242" s="384"/>
      <c r="G242" s="384"/>
      <c r="H242" s="384"/>
      <c r="I242" s="384"/>
      <c r="J242" s="384"/>
      <c r="K242" s="384"/>
      <c r="L242" s="384"/>
    </row>
    <row r="243" spans="1:12" x14ac:dyDescent="0.2">
      <c r="A243" s="384"/>
      <c r="B243" s="384"/>
      <c r="C243" s="384"/>
      <c r="D243" s="384"/>
      <c r="E243" s="384"/>
      <c r="F243" s="384"/>
      <c r="G243" s="384"/>
      <c r="H243" s="384"/>
      <c r="I243" s="384"/>
      <c r="J243" s="384"/>
      <c r="K243" s="384"/>
      <c r="L243" s="384"/>
    </row>
    <row r="244" spans="1:12" x14ac:dyDescent="0.2">
      <c r="A244" s="384"/>
      <c r="B244" s="384"/>
      <c r="C244" s="384"/>
      <c r="D244" s="384"/>
      <c r="E244" s="384"/>
      <c r="F244" s="384"/>
      <c r="G244" s="384"/>
      <c r="H244" s="384"/>
      <c r="I244" s="384"/>
      <c r="J244" s="384"/>
      <c r="K244" s="384"/>
      <c r="L244" s="384"/>
    </row>
    <row r="245" spans="1:12" x14ac:dyDescent="0.2">
      <c r="A245" s="384"/>
      <c r="B245" s="384"/>
      <c r="C245" s="384"/>
      <c r="D245" s="384"/>
      <c r="E245" s="384"/>
      <c r="F245" s="384"/>
      <c r="G245" s="384"/>
      <c r="H245" s="384"/>
      <c r="I245" s="384"/>
      <c r="J245" s="384"/>
      <c r="K245" s="384"/>
      <c r="L245" s="384"/>
    </row>
    <row r="246" spans="1:12" x14ac:dyDescent="0.2">
      <c r="A246" s="384"/>
      <c r="B246" s="384"/>
      <c r="C246" s="384"/>
      <c r="D246" s="384"/>
      <c r="E246" s="384"/>
      <c r="F246" s="384"/>
      <c r="G246" s="384"/>
      <c r="H246" s="384"/>
      <c r="I246" s="384"/>
      <c r="J246" s="384"/>
      <c r="K246" s="384"/>
      <c r="L246" s="384"/>
    </row>
    <row r="247" spans="1:12" x14ac:dyDescent="0.2">
      <c r="A247" s="384"/>
      <c r="B247" s="384"/>
      <c r="C247" s="384"/>
      <c r="D247" s="384"/>
      <c r="E247" s="384"/>
      <c r="F247" s="384"/>
      <c r="G247" s="384"/>
      <c r="H247" s="384"/>
      <c r="I247" s="384"/>
      <c r="J247" s="384"/>
      <c r="K247" s="384"/>
      <c r="L247" s="384"/>
    </row>
    <row r="248" spans="1:12" x14ac:dyDescent="0.2">
      <c r="A248" s="384"/>
      <c r="B248" s="384"/>
      <c r="C248" s="384"/>
      <c r="D248" s="384"/>
      <c r="E248" s="384"/>
      <c r="F248" s="384"/>
      <c r="G248" s="384"/>
      <c r="H248" s="384"/>
      <c r="I248" s="384"/>
      <c r="J248" s="384"/>
      <c r="K248" s="384"/>
      <c r="L248" s="384"/>
    </row>
    <row r="249" spans="1:12" x14ac:dyDescent="0.2">
      <c r="A249" s="384"/>
      <c r="B249" s="384"/>
      <c r="C249" s="384"/>
      <c r="D249" s="384"/>
      <c r="E249" s="384"/>
      <c r="F249" s="384"/>
      <c r="G249" s="384"/>
      <c r="H249" s="384"/>
      <c r="I249" s="384"/>
      <c r="J249" s="384"/>
      <c r="K249" s="384"/>
      <c r="L249" s="384"/>
    </row>
    <row r="250" spans="1:12" x14ac:dyDescent="0.2">
      <c r="A250" s="384"/>
      <c r="B250" s="384"/>
      <c r="C250" s="384"/>
      <c r="D250" s="384"/>
      <c r="E250" s="384"/>
      <c r="F250" s="384"/>
      <c r="G250" s="384"/>
      <c r="H250" s="384"/>
      <c r="I250" s="384"/>
      <c r="J250" s="384"/>
      <c r="K250" s="384"/>
      <c r="L250" s="384"/>
    </row>
    <row r="251" spans="1:12" x14ac:dyDescent="0.2">
      <c r="A251" s="384"/>
      <c r="B251" s="384"/>
      <c r="C251" s="384"/>
      <c r="D251" s="384"/>
      <c r="E251" s="384"/>
      <c r="F251" s="384"/>
      <c r="G251" s="384"/>
      <c r="H251" s="384"/>
      <c r="I251" s="384"/>
      <c r="J251" s="384"/>
      <c r="K251" s="384"/>
      <c r="L251" s="384"/>
    </row>
    <row r="252" spans="1:12" x14ac:dyDescent="0.2">
      <c r="A252" s="384"/>
      <c r="B252" s="384"/>
      <c r="C252" s="384"/>
      <c r="D252" s="384"/>
      <c r="E252" s="384"/>
      <c r="F252" s="384"/>
      <c r="G252" s="384"/>
      <c r="H252" s="384"/>
      <c r="I252" s="384"/>
      <c r="J252" s="384"/>
      <c r="K252" s="384"/>
      <c r="L252" s="384"/>
    </row>
    <row r="253" spans="1:12" x14ac:dyDescent="0.2">
      <c r="A253" s="384"/>
      <c r="B253" s="384"/>
      <c r="C253" s="384"/>
      <c r="D253" s="384"/>
      <c r="E253" s="384"/>
      <c r="F253" s="384"/>
      <c r="G253" s="384"/>
      <c r="H253" s="384"/>
      <c r="I253" s="384"/>
      <c r="J253" s="384"/>
      <c r="K253" s="384"/>
      <c r="L253" s="384"/>
    </row>
    <row r="254" spans="1:12" x14ac:dyDescent="0.2">
      <c r="A254" s="384"/>
      <c r="B254" s="384"/>
      <c r="C254" s="384"/>
      <c r="D254" s="384"/>
      <c r="E254" s="384"/>
      <c r="F254" s="384"/>
      <c r="G254" s="384"/>
      <c r="H254" s="384"/>
      <c r="I254" s="384"/>
      <c r="J254" s="384"/>
      <c r="K254" s="384"/>
      <c r="L254" s="384"/>
    </row>
    <row r="255" spans="1:12" x14ac:dyDescent="0.2">
      <c r="A255" s="384"/>
      <c r="B255" s="384"/>
      <c r="C255" s="384"/>
      <c r="D255" s="384"/>
      <c r="E255" s="384"/>
      <c r="F255" s="384"/>
      <c r="G255" s="384"/>
      <c r="H255" s="384"/>
      <c r="I255" s="384"/>
      <c r="J255" s="384"/>
      <c r="K255" s="384"/>
      <c r="L255" s="384"/>
    </row>
    <row r="256" spans="1:12" x14ac:dyDescent="0.2">
      <c r="A256" s="384"/>
      <c r="B256" s="384"/>
      <c r="C256" s="384"/>
      <c r="D256" s="384"/>
      <c r="E256" s="384"/>
      <c r="F256" s="384"/>
      <c r="G256" s="384"/>
      <c r="H256" s="384"/>
      <c r="I256" s="384"/>
      <c r="J256" s="384"/>
      <c r="K256" s="384"/>
      <c r="L256" s="384"/>
    </row>
    <row r="257" spans="1:12" x14ac:dyDescent="0.2">
      <c r="A257" s="384"/>
      <c r="B257" s="384"/>
      <c r="C257" s="384"/>
      <c r="D257" s="384"/>
      <c r="E257" s="384"/>
      <c r="F257" s="384"/>
      <c r="G257" s="384"/>
      <c r="H257" s="384"/>
      <c r="I257" s="384"/>
      <c r="J257" s="384"/>
      <c r="K257" s="384"/>
      <c r="L257" s="384"/>
    </row>
    <row r="258" spans="1:12" x14ac:dyDescent="0.2">
      <c r="A258" s="384"/>
      <c r="B258" s="384"/>
      <c r="C258" s="384"/>
      <c r="D258" s="384"/>
      <c r="E258" s="384"/>
      <c r="F258" s="384"/>
      <c r="G258" s="384"/>
      <c r="H258" s="384"/>
      <c r="I258" s="384"/>
      <c r="J258" s="384"/>
      <c r="K258" s="384"/>
      <c r="L258" s="384"/>
    </row>
    <row r="259" spans="1:12" x14ac:dyDescent="0.2">
      <c r="A259" s="384"/>
      <c r="B259" s="384"/>
      <c r="C259" s="384"/>
      <c r="D259" s="384"/>
      <c r="E259" s="384"/>
      <c r="F259" s="384"/>
      <c r="G259" s="384"/>
      <c r="H259" s="384"/>
      <c r="I259" s="384"/>
      <c r="J259" s="384"/>
      <c r="K259" s="384"/>
      <c r="L259" s="384"/>
    </row>
    <row r="260" spans="1:12" x14ac:dyDescent="0.2">
      <c r="A260" s="384"/>
      <c r="B260" s="384"/>
      <c r="C260" s="384"/>
      <c r="D260" s="384"/>
      <c r="E260" s="384"/>
      <c r="F260" s="384"/>
      <c r="G260" s="384"/>
      <c r="H260" s="384"/>
      <c r="I260" s="384"/>
      <c r="J260" s="384"/>
      <c r="K260" s="384"/>
      <c r="L260" s="384"/>
    </row>
    <row r="261" spans="1:12" x14ac:dyDescent="0.2">
      <c r="A261" s="384"/>
      <c r="B261" s="384"/>
      <c r="C261" s="384"/>
      <c r="D261" s="384"/>
      <c r="E261" s="384"/>
      <c r="F261" s="384"/>
      <c r="G261" s="384"/>
      <c r="H261" s="384"/>
      <c r="I261" s="384"/>
      <c r="J261" s="384"/>
      <c r="K261" s="384"/>
      <c r="L261" s="384"/>
    </row>
    <row r="262" spans="1:12" x14ac:dyDescent="0.2">
      <c r="A262" s="384"/>
      <c r="B262" s="384"/>
      <c r="C262" s="384"/>
      <c r="D262" s="384"/>
      <c r="E262" s="384"/>
      <c r="F262" s="384"/>
      <c r="G262" s="384"/>
      <c r="H262" s="384"/>
      <c r="I262" s="384"/>
      <c r="J262" s="384"/>
      <c r="K262" s="384"/>
      <c r="L262" s="384"/>
    </row>
    <row r="263" spans="1:12" x14ac:dyDescent="0.2">
      <c r="A263" s="384"/>
      <c r="B263" s="384"/>
      <c r="C263" s="384"/>
      <c r="D263" s="384"/>
      <c r="E263" s="384"/>
      <c r="F263" s="384"/>
      <c r="G263" s="384"/>
      <c r="H263" s="384"/>
      <c r="I263" s="384"/>
      <c r="J263" s="384"/>
      <c r="K263" s="384"/>
      <c r="L263" s="384"/>
    </row>
    <row r="264" spans="1:12" x14ac:dyDescent="0.2">
      <c r="A264" s="384"/>
      <c r="B264" s="384"/>
      <c r="C264" s="384"/>
      <c r="D264" s="384"/>
      <c r="E264" s="384"/>
      <c r="F264" s="384"/>
      <c r="G264" s="384"/>
      <c r="H264" s="384"/>
      <c r="I264" s="384"/>
      <c r="J264" s="384"/>
      <c r="K264" s="384"/>
      <c r="L264" s="384"/>
    </row>
    <row r="265" spans="1:12" x14ac:dyDescent="0.2">
      <c r="A265" s="384"/>
      <c r="B265" s="384"/>
      <c r="C265" s="384"/>
      <c r="D265" s="384"/>
      <c r="E265" s="384"/>
      <c r="F265" s="384"/>
      <c r="G265" s="384"/>
      <c r="H265" s="384"/>
      <c r="I265" s="384"/>
      <c r="J265" s="384"/>
      <c r="K265" s="384"/>
      <c r="L265" s="384"/>
    </row>
    <row r="266" spans="1:12" x14ac:dyDescent="0.2">
      <c r="A266" s="384"/>
      <c r="B266" s="384"/>
      <c r="C266" s="384"/>
      <c r="D266" s="384"/>
      <c r="E266" s="384"/>
      <c r="F266" s="384"/>
      <c r="G266" s="384"/>
      <c r="H266" s="384"/>
      <c r="I266" s="384"/>
      <c r="J266" s="384"/>
      <c r="K266" s="384"/>
      <c r="L266" s="384"/>
    </row>
    <row r="267" spans="1:12" x14ac:dyDescent="0.2">
      <c r="A267" s="384"/>
      <c r="B267" s="384"/>
      <c r="C267" s="384"/>
      <c r="D267" s="384"/>
      <c r="E267" s="384"/>
      <c r="F267" s="384"/>
      <c r="G267" s="384"/>
      <c r="H267" s="384"/>
      <c r="I267" s="384"/>
      <c r="J267" s="384"/>
      <c r="K267" s="384"/>
      <c r="L267" s="384"/>
    </row>
    <row r="268" spans="1:12" x14ac:dyDescent="0.2">
      <c r="A268" s="384"/>
      <c r="B268" s="384"/>
      <c r="C268" s="384"/>
      <c r="D268" s="384"/>
      <c r="E268" s="384"/>
      <c r="F268" s="384"/>
      <c r="G268" s="384"/>
      <c r="H268" s="384"/>
      <c r="I268" s="384"/>
      <c r="J268" s="384"/>
      <c r="K268" s="384"/>
      <c r="L268" s="384"/>
    </row>
    <row r="269" spans="1:12" x14ac:dyDescent="0.2">
      <c r="A269" s="384"/>
      <c r="B269" s="384"/>
      <c r="C269" s="384"/>
      <c r="D269" s="384"/>
      <c r="E269" s="384"/>
      <c r="F269" s="384"/>
      <c r="G269" s="384"/>
      <c r="H269" s="384"/>
      <c r="I269" s="384"/>
      <c r="J269" s="384"/>
      <c r="K269" s="384"/>
      <c r="L269" s="384"/>
    </row>
    <row r="270" spans="1:12" x14ac:dyDescent="0.2">
      <c r="A270" s="384"/>
      <c r="B270" s="384"/>
      <c r="C270" s="384"/>
      <c r="D270" s="384"/>
      <c r="E270" s="384"/>
      <c r="F270" s="384"/>
      <c r="G270" s="384"/>
      <c r="H270" s="384"/>
      <c r="I270" s="384"/>
      <c r="J270" s="384"/>
      <c r="K270" s="384"/>
      <c r="L270" s="384"/>
    </row>
    <row r="271" spans="1:12" x14ac:dyDescent="0.2">
      <c r="A271" s="384"/>
      <c r="B271" s="384"/>
      <c r="C271" s="384"/>
      <c r="D271" s="384"/>
      <c r="E271" s="384"/>
      <c r="F271" s="384"/>
      <c r="G271" s="384"/>
      <c r="H271" s="384"/>
      <c r="I271" s="384"/>
      <c r="J271" s="384"/>
      <c r="K271" s="384"/>
      <c r="L271" s="384"/>
    </row>
    <row r="272" spans="1:12" x14ac:dyDescent="0.2">
      <c r="A272" s="384"/>
      <c r="B272" s="384"/>
      <c r="C272" s="384"/>
      <c r="D272" s="384"/>
      <c r="E272" s="384"/>
      <c r="F272" s="384"/>
      <c r="G272" s="384"/>
      <c r="H272" s="384"/>
      <c r="I272" s="384"/>
      <c r="J272" s="384"/>
      <c r="K272" s="384"/>
      <c r="L272" s="384"/>
    </row>
    <row r="273" spans="1:12" x14ac:dyDescent="0.2">
      <c r="A273" s="384"/>
      <c r="B273" s="384"/>
      <c r="C273" s="384"/>
      <c r="D273" s="384"/>
      <c r="E273" s="384"/>
      <c r="F273" s="384"/>
      <c r="G273" s="384"/>
      <c r="H273" s="384"/>
      <c r="I273" s="384"/>
      <c r="J273" s="384"/>
      <c r="K273" s="384"/>
      <c r="L273" s="384"/>
    </row>
    <row r="274" spans="1:12" x14ac:dyDescent="0.2">
      <c r="A274" s="384"/>
      <c r="B274" s="384"/>
      <c r="C274" s="384"/>
      <c r="D274" s="384"/>
      <c r="E274" s="384"/>
      <c r="F274" s="384"/>
      <c r="G274" s="384"/>
      <c r="H274" s="384"/>
      <c r="I274" s="384"/>
      <c r="J274" s="384"/>
      <c r="K274" s="384"/>
      <c r="L274" s="384"/>
    </row>
    <row r="275" spans="1:12" x14ac:dyDescent="0.2">
      <c r="A275" s="384"/>
      <c r="B275" s="384"/>
      <c r="C275" s="384"/>
      <c r="D275" s="384"/>
      <c r="E275" s="384"/>
      <c r="F275" s="384"/>
      <c r="G275" s="384"/>
      <c r="H275" s="384"/>
      <c r="I275" s="384"/>
      <c r="J275" s="384"/>
      <c r="K275" s="384"/>
      <c r="L275" s="384"/>
    </row>
    <row r="276" spans="1:12" x14ac:dyDescent="0.2">
      <c r="A276" s="384"/>
      <c r="B276" s="384"/>
      <c r="C276" s="384"/>
      <c r="D276" s="384"/>
      <c r="E276" s="384"/>
      <c r="F276" s="384"/>
      <c r="G276" s="384"/>
      <c r="H276" s="384"/>
      <c r="I276" s="384"/>
      <c r="J276" s="384"/>
      <c r="K276" s="384"/>
      <c r="L276" s="384"/>
    </row>
    <row r="277" spans="1:12" x14ac:dyDescent="0.2">
      <c r="A277" s="384"/>
      <c r="B277" s="384"/>
      <c r="C277" s="384"/>
      <c r="D277" s="384"/>
      <c r="E277" s="384"/>
      <c r="F277" s="384"/>
      <c r="G277" s="384"/>
      <c r="H277" s="384"/>
      <c r="I277" s="384"/>
      <c r="J277" s="384"/>
      <c r="K277" s="384"/>
      <c r="L277" s="384"/>
    </row>
    <row r="278" spans="1:12" x14ac:dyDescent="0.2">
      <c r="A278" s="384"/>
      <c r="B278" s="384"/>
      <c r="C278" s="384"/>
      <c r="D278" s="384"/>
      <c r="E278" s="384"/>
      <c r="F278" s="384"/>
      <c r="G278" s="384"/>
      <c r="H278" s="384"/>
      <c r="I278" s="384"/>
      <c r="J278" s="384"/>
      <c r="K278" s="384"/>
      <c r="L278" s="384"/>
    </row>
    <row r="279" spans="1:12" x14ac:dyDescent="0.2">
      <c r="A279" s="384"/>
      <c r="B279" s="384"/>
      <c r="C279" s="384"/>
      <c r="D279" s="384"/>
      <c r="E279" s="384"/>
      <c r="F279" s="384"/>
      <c r="G279" s="384"/>
      <c r="H279" s="384"/>
      <c r="I279" s="384"/>
      <c r="J279" s="384"/>
      <c r="K279" s="384"/>
      <c r="L279" s="384"/>
    </row>
    <row r="280" spans="1:12" x14ac:dyDescent="0.2">
      <c r="A280" s="384"/>
      <c r="B280" s="384"/>
      <c r="C280" s="384"/>
      <c r="D280" s="384"/>
      <c r="E280" s="384"/>
      <c r="F280" s="384"/>
      <c r="G280" s="384"/>
      <c r="H280" s="384"/>
      <c r="I280" s="384"/>
      <c r="J280" s="384"/>
      <c r="K280" s="384"/>
      <c r="L280" s="384"/>
    </row>
    <row r="281" spans="1:12" x14ac:dyDescent="0.2">
      <c r="A281" s="384"/>
      <c r="B281" s="384"/>
      <c r="C281" s="384"/>
      <c r="D281" s="384"/>
      <c r="E281" s="384"/>
      <c r="F281" s="384"/>
      <c r="G281" s="384"/>
      <c r="H281" s="384"/>
      <c r="I281" s="384"/>
      <c r="J281" s="384"/>
      <c r="K281" s="384"/>
      <c r="L281" s="384"/>
    </row>
    <row r="282" spans="1:12" x14ac:dyDescent="0.2">
      <c r="A282" s="384"/>
      <c r="B282" s="384"/>
      <c r="C282" s="384"/>
      <c r="D282" s="384"/>
      <c r="E282" s="384"/>
      <c r="F282" s="384"/>
      <c r="G282" s="384"/>
      <c r="H282" s="384"/>
      <c r="I282" s="384"/>
      <c r="J282" s="384"/>
      <c r="K282" s="384"/>
      <c r="L282" s="384"/>
    </row>
    <row r="283" spans="1:12" x14ac:dyDescent="0.2">
      <c r="A283" s="384"/>
      <c r="B283" s="384"/>
      <c r="C283" s="384"/>
      <c r="D283" s="384"/>
      <c r="E283" s="384"/>
      <c r="F283" s="384"/>
      <c r="G283" s="384"/>
      <c r="H283" s="384"/>
      <c r="I283" s="384"/>
      <c r="J283" s="384"/>
      <c r="K283" s="384"/>
      <c r="L283" s="384"/>
    </row>
    <row r="284" spans="1:12" x14ac:dyDescent="0.2">
      <c r="A284" s="384"/>
      <c r="B284" s="384"/>
      <c r="C284" s="384"/>
      <c r="D284" s="384"/>
      <c r="E284" s="384"/>
      <c r="F284" s="384"/>
      <c r="G284" s="384"/>
      <c r="H284" s="384"/>
      <c r="I284" s="384"/>
      <c r="J284" s="384"/>
      <c r="K284" s="384"/>
      <c r="L284" s="384"/>
    </row>
    <row r="285" spans="1:12" x14ac:dyDescent="0.2">
      <c r="A285" s="384"/>
      <c r="B285" s="384"/>
      <c r="C285" s="384"/>
      <c r="D285" s="384"/>
      <c r="E285" s="384"/>
      <c r="F285" s="384"/>
      <c r="G285" s="384"/>
      <c r="H285" s="384"/>
      <c r="I285" s="384"/>
      <c r="J285" s="384"/>
      <c r="K285" s="384"/>
      <c r="L285" s="384"/>
    </row>
    <row r="286" spans="1:12" x14ac:dyDescent="0.2">
      <c r="A286" s="384"/>
      <c r="B286" s="384"/>
      <c r="C286" s="384"/>
      <c r="D286" s="384"/>
      <c r="E286" s="384"/>
      <c r="F286" s="384"/>
      <c r="G286" s="384"/>
      <c r="H286" s="384"/>
      <c r="I286" s="384"/>
      <c r="J286" s="384"/>
      <c r="K286" s="384"/>
      <c r="L286" s="384"/>
    </row>
    <row r="287" spans="1:12" x14ac:dyDescent="0.2">
      <c r="A287" s="384"/>
      <c r="B287" s="384"/>
      <c r="C287" s="384"/>
      <c r="D287" s="384"/>
      <c r="E287" s="384"/>
      <c r="F287" s="384"/>
      <c r="G287" s="384"/>
      <c r="H287" s="384"/>
      <c r="I287" s="384"/>
      <c r="J287" s="384"/>
      <c r="K287" s="384"/>
      <c r="L287" s="384"/>
    </row>
    <row r="288" spans="1:12" x14ac:dyDescent="0.2">
      <c r="A288" s="384"/>
      <c r="B288" s="384"/>
      <c r="C288" s="384"/>
      <c r="D288" s="384"/>
      <c r="E288" s="384"/>
      <c r="F288" s="384"/>
      <c r="G288" s="384"/>
      <c r="H288" s="384"/>
      <c r="I288" s="384"/>
      <c r="J288" s="384"/>
      <c r="K288" s="384"/>
      <c r="L288" s="384"/>
    </row>
    <row r="289" spans="1:12" x14ac:dyDescent="0.2">
      <c r="A289" s="384"/>
      <c r="B289" s="384"/>
      <c r="C289" s="384"/>
      <c r="D289" s="384"/>
      <c r="E289" s="384"/>
      <c r="F289" s="384"/>
      <c r="G289" s="384"/>
      <c r="H289" s="384"/>
      <c r="I289" s="384"/>
      <c r="J289" s="384"/>
      <c r="K289" s="384"/>
      <c r="L289" s="384"/>
    </row>
    <row r="290" spans="1:12" x14ac:dyDescent="0.2">
      <c r="A290" s="384"/>
      <c r="B290" s="384"/>
      <c r="C290" s="384"/>
      <c r="D290" s="384"/>
      <c r="E290" s="384"/>
      <c r="F290" s="384"/>
      <c r="G290" s="384"/>
      <c r="H290" s="384"/>
      <c r="I290" s="384"/>
      <c r="J290" s="384"/>
      <c r="K290" s="384"/>
      <c r="L290" s="384"/>
    </row>
    <row r="291" spans="1:12" x14ac:dyDescent="0.2">
      <c r="A291" s="384"/>
      <c r="B291" s="384"/>
      <c r="C291" s="384"/>
      <c r="D291" s="384"/>
      <c r="E291" s="384"/>
      <c r="F291" s="384"/>
      <c r="G291" s="384"/>
      <c r="H291" s="384"/>
      <c r="I291" s="384"/>
      <c r="J291" s="384"/>
      <c r="K291" s="384"/>
      <c r="L291" s="384"/>
    </row>
    <row r="292" spans="1:12" x14ac:dyDescent="0.2">
      <c r="A292" s="384"/>
      <c r="B292" s="384"/>
      <c r="C292" s="384"/>
      <c r="D292" s="384"/>
      <c r="E292" s="384"/>
      <c r="F292" s="384"/>
      <c r="G292" s="384"/>
      <c r="H292" s="384"/>
      <c r="I292" s="384"/>
      <c r="J292" s="384"/>
      <c r="K292" s="384"/>
      <c r="L292" s="384"/>
    </row>
    <row r="293" spans="1:12" x14ac:dyDescent="0.2">
      <c r="A293" s="384"/>
      <c r="B293" s="384"/>
      <c r="C293" s="384"/>
      <c r="D293" s="384"/>
      <c r="E293" s="384"/>
      <c r="F293" s="384"/>
      <c r="G293" s="384"/>
      <c r="H293" s="384"/>
      <c r="I293" s="384"/>
      <c r="J293" s="384"/>
      <c r="K293" s="384"/>
      <c r="L293" s="384"/>
    </row>
    <row r="294" spans="1:12" x14ac:dyDescent="0.2">
      <c r="A294" s="384"/>
      <c r="B294" s="384"/>
      <c r="C294" s="384"/>
      <c r="D294" s="384"/>
      <c r="E294" s="384"/>
      <c r="F294" s="384"/>
      <c r="G294" s="384"/>
      <c r="H294" s="384"/>
      <c r="I294" s="384"/>
      <c r="J294" s="384"/>
      <c r="K294" s="384"/>
      <c r="L294" s="384"/>
    </row>
    <row r="295" spans="1:12" x14ac:dyDescent="0.2">
      <c r="A295" s="384"/>
      <c r="B295" s="384"/>
      <c r="C295" s="384"/>
      <c r="D295" s="384"/>
      <c r="E295" s="384"/>
      <c r="F295" s="384"/>
      <c r="G295" s="384"/>
      <c r="H295" s="384"/>
      <c r="I295" s="384"/>
      <c r="J295" s="384"/>
      <c r="K295" s="384"/>
      <c r="L295" s="384"/>
    </row>
    <row r="296" spans="1:12" x14ac:dyDescent="0.2">
      <c r="A296" s="384"/>
      <c r="B296" s="384"/>
      <c r="C296" s="384"/>
      <c r="D296" s="384"/>
      <c r="E296" s="384"/>
      <c r="F296" s="384"/>
      <c r="G296" s="384"/>
      <c r="H296" s="384"/>
      <c r="I296" s="384"/>
      <c r="J296" s="384"/>
      <c r="K296" s="384"/>
      <c r="L296" s="384"/>
    </row>
    <row r="297" spans="1:12" x14ac:dyDescent="0.2">
      <c r="A297" s="384"/>
      <c r="B297" s="384"/>
      <c r="C297" s="384"/>
      <c r="D297" s="384"/>
      <c r="E297" s="384"/>
      <c r="F297" s="384"/>
      <c r="G297" s="384"/>
      <c r="H297" s="384"/>
      <c r="I297" s="384"/>
      <c r="J297" s="384"/>
      <c r="K297" s="384"/>
      <c r="L297" s="384"/>
    </row>
    <row r="298" spans="1:12" x14ac:dyDescent="0.2">
      <c r="A298" s="384"/>
      <c r="B298" s="384"/>
      <c r="C298" s="384"/>
      <c r="D298" s="384"/>
      <c r="E298" s="384"/>
      <c r="F298" s="384"/>
      <c r="G298" s="384"/>
      <c r="H298" s="384"/>
      <c r="I298" s="384"/>
      <c r="J298" s="384"/>
      <c r="K298" s="384"/>
      <c r="L298" s="384"/>
    </row>
    <row r="299" spans="1:12" x14ac:dyDescent="0.2">
      <c r="A299" s="384"/>
      <c r="B299" s="384"/>
      <c r="C299" s="384"/>
      <c r="D299" s="384"/>
      <c r="E299" s="384"/>
      <c r="F299" s="384"/>
      <c r="G299" s="384"/>
      <c r="H299" s="384"/>
      <c r="I299" s="384"/>
      <c r="J299" s="384"/>
      <c r="K299" s="384"/>
      <c r="L299" s="384"/>
    </row>
    <row r="300" spans="1:12" x14ac:dyDescent="0.2">
      <c r="A300" s="384"/>
      <c r="B300" s="384"/>
      <c r="C300" s="384"/>
      <c r="D300" s="384"/>
      <c r="E300" s="384"/>
      <c r="F300" s="384"/>
      <c r="G300" s="384"/>
      <c r="H300" s="384"/>
      <c r="I300" s="384"/>
      <c r="J300" s="384"/>
      <c r="K300" s="384"/>
      <c r="L300" s="384"/>
    </row>
    <row r="301" spans="1:12" x14ac:dyDescent="0.2">
      <c r="A301" s="384"/>
      <c r="B301" s="384"/>
      <c r="C301" s="384"/>
      <c r="D301" s="384"/>
      <c r="E301" s="384"/>
      <c r="F301" s="384"/>
      <c r="G301" s="384"/>
      <c r="H301" s="384"/>
      <c r="I301" s="384"/>
      <c r="J301" s="384"/>
      <c r="K301" s="384"/>
      <c r="L301" s="384"/>
    </row>
    <row r="302" spans="1:12" x14ac:dyDescent="0.2">
      <c r="A302" s="384"/>
      <c r="B302" s="384"/>
      <c r="C302" s="384"/>
      <c r="D302" s="384"/>
      <c r="E302" s="384"/>
      <c r="F302" s="384"/>
      <c r="G302" s="384"/>
      <c r="H302" s="384"/>
      <c r="I302" s="384"/>
      <c r="J302" s="384"/>
      <c r="K302" s="384"/>
      <c r="L302" s="384"/>
    </row>
    <row r="303" spans="1:12" x14ac:dyDescent="0.2">
      <c r="A303" s="384"/>
      <c r="B303" s="384"/>
      <c r="C303" s="384"/>
      <c r="D303" s="384"/>
      <c r="E303" s="384"/>
      <c r="F303" s="384"/>
      <c r="G303" s="384"/>
      <c r="H303" s="384"/>
      <c r="I303" s="384"/>
      <c r="J303" s="384"/>
      <c r="K303" s="384"/>
      <c r="L303" s="384"/>
    </row>
    <row r="304" spans="1:12" x14ac:dyDescent="0.2">
      <c r="A304" s="384"/>
      <c r="B304" s="384"/>
      <c r="C304" s="384"/>
      <c r="D304" s="384"/>
      <c r="E304" s="384"/>
      <c r="F304" s="384"/>
      <c r="G304" s="384"/>
      <c r="H304" s="384"/>
      <c r="I304" s="384"/>
      <c r="J304" s="384"/>
      <c r="K304" s="384"/>
      <c r="L304" s="384"/>
    </row>
    <row r="305" spans="1:12" x14ac:dyDescent="0.2">
      <c r="A305" s="384"/>
      <c r="B305" s="384"/>
      <c r="C305" s="384"/>
      <c r="D305" s="384"/>
      <c r="E305" s="384"/>
      <c r="F305" s="384"/>
      <c r="G305" s="384"/>
      <c r="H305" s="384"/>
      <c r="I305" s="384"/>
      <c r="J305" s="384"/>
      <c r="K305" s="384"/>
      <c r="L305" s="384"/>
    </row>
    <row r="306" spans="1:12" x14ac:dyDescent="0.2">
      <c r="A306" s="384"/>
      <c r="B306" s="384"/>
      <c r="C306" s="384"/>
      <c r="D306" s="384"/>
      <c r="E306" s="384"/>
      <c r="F306" s="384"/>
      <c r="G306" s="384"/>
      <c r="H306" s="384"/>
      <c r="I306" s="384"/>
      <c r="J306" s="384"/>
      <c r="K306" s="384"/>
      <c r="L306" s="384"/>
    </row>
    <row r="307" spans="1:12" x14ac:dyDescent="0.2">
      <c r="A307" s="384"/>
      <c r="B307" s="384"/>
      <c r="C307" s="384"/>
      <c r="D307" s="384"/>
      <c r="E307" s="384"/>
      <c r="F307" s="384"/>
      <c r="G307" s="384"/>
      <c r="H307" s="384"/>
      <c r="I307" s="384"/>
      <c r="J307" s="384"/>
      <c r="K307" s="384"/>
      <c r="L307" s="384"/>
    </row>
    <row r="308" spans="1:12" x14ac:dyDescent="0.2">
      <c r="A308" s="384"/>
      <c r="B308" s="384"/>
      <c r="C308" s="384"/>
      <c r="D308" s="384"/>
      <c r="E308" s="384"/>
      <c r="F308" s="384"/>
      <c r="G308" s="384"/>
      <c r="H308" s="384"/>
      <c r="I308" s="384"/>
      <c r="J308" s="384"/>
      <c r="K308" s="384"/>
      <c r="L308" s="384"/>
    </row>
    <row r="309" spans="1:12" x14ac:dyDescent="0.2">
      <c r="A309" s="384"/>
      <c r="B309" s="384"/>
      <c r="C309" s="384"/>
      <c r="D309" s="384"/>
      <c r="E309" s="384"/>
      <c r="F309" s="384"/>
      <c r="G309" s="384"/>
      <c r="H309" s="384"/>
      <c r="I309" s="384"/>
      <c r="J309" s="384"/>
      <c r="K309" s="384"/>
      <c r="L309" s="384"/>
    </row>
    <row r="310" spans="1:12" x14ac:dyDescent="0.2">
      <c r="A310" s="384"/>
      <c r="B310" s="384"/>
      <c r="C310" s="384"/>
      <c r="D310" s="384"/>
      <c r="E310" s="384"/>
      <c r="F310" s="384"/>
      <c r="G310" s="384"/>
      <c r="H310" s="384"/>
      <c r="I310" s="384"/>
      <c r="J310" s="384"/>
      <c r="K310" s="384"/>
      <c r="L310" s="384"/>
    </row>
    <row r="311" spans="1:12" x14ac:dyDescent="0.2">
      <c r="A311" s="384"/>
      <c r="B311" s="384"/>
      <c r="C311" s="384"/>
      <c r="D311" s="384"/>
      <c r="E311" s="384"/>
      <c r="F311" s="384"/>
      <c r="G311" s="384"/>
      <c r="H311" s="384"/>
      <c r="I311" s="384"/>
      <c r="J311" s="384"/>
      <c r="K311" s="384"/>
      <c r="L311" s="384"/>
    </row>
    <row r="312" spans="1:12" x14ac:dyDescent="0.2">
      <c r="A312" s="384"/>
      <c r="B312" s="384"/>
      <c r="C312" s="384"/>
      <c r="D312" s="384"/>
      <c r="E312" s="384"/>
      <c r="F312" s="384"/>
      <c r="G312" s="384"/>
      <c r="H312" s="384"/>
      <c r="I312" s="384"/>
      <c r="J312" s="384"/>
      <c r="K312" s="384"/>
      <c r="L312" s="384"/>
    </row>
    <row r="313" spans="1:12" x14ac:dyDescent="0.2">
      <c r="A313" s="384"/>
      <c r="B313" s="384"/>
      <c r="C313" s="384"/>
      <c r="D313" s="384"/>
      <c r="E313" s="384"/>
      <c r="F313" s="384"/>
      <c r="G313" s="384"/>
      <c r="H313" s="384"/>
      <c r="I313" s="384"/>
      <c r="J313" s="384"/>
      <c r="K313" s="384"/>
      <c r="L313" s="384"/>
    </row>
    <row r="314" spans="1:12" x14ac:dyDescent="0.2">
      <c r="A314" s="384"/>
      <c r="B314" s="384"/>
      <c r="C314" s="384"/>
      <c r="D314" s="384"/>
      <c r="E314" s="384"/>
      <c r="F314" s="384"/>
      <c r="G314" s="384"/>
      <c r="H314" s="384"/>
      <c r="I314" s="384"/>
      <c r="J314" s="384"/>
      <c r="K314" s="384"/>
      <c r="L314" s="384"/>
    </row>
    <row r="315" spans="1:12" x14ac:dyDescent="0.2">
      <c r="A315" s="384"/>
      <c r="B315" s="384"/>
      <c r="C315" s="384"/>
      <c r="D315" s="384"/>
      <c r="E315" s="384"/>
      <c r="F315" s="384"/>
      <c r="G315" s="384"/>
      <c r="H315" s="384"/>
      <c r="I315" s="384"/>
      <c r="J315" s="384"/>
      <c r="K315" s="384"/>
      <c r="L315" s="384"/>
    </row>
    <row r="316" spans="1:12" x14ac:dyDescent="0.2">
      <c r="A316" s="384"/>
      <c r="B316" s="384"/>
      <c r="C316" s="384"/>
      <c r="D316" s="384"/>
      <c r="E316" s="384"/>
      <c r="F316" s="384"/>
      <c r="G316" s="384"/>
      <c r="H316" s="384"/>
      <c r="I316" s="384"/>
      <c r="J316" s="384"/>
      <c r="K316" s="384"/>
      <c r="L316" s="384"/>
    </row>
    <row r="317" spans="1:12" x14ac:dyDescent="0.2">
      <c r="A317" s="384"/>
      <c r="B317" s="384"/>
      <c r="C317" s="384"/>
      <c r="D317" s="384"/>
      <c r="E317" s="384"/>
      <c r="F317" s="384"/>
      <c r="G317" s="384"/>
      <c r="H317" s="384"/>
      <c r="I317" s="384"/>
      <c r="J317" s="384"/>
      <c r="K317" s="384"/>
      <c r="L317" s="384"/>
    </row>
    <row r="318" spans="1:12" x14ac:dyDescent="0.2">
      <c r="A318" s="384"/>
      <c r="B318" s="384"/>
      <c r="C318" s="384"/>
      <c r="D318" s="384"/>
      <c r="E318" s="384"/>
      <c r="F318" s="384"/>
      <c r="G318" s="384"/>
      <c r="H318" s="384"/>
      <c r="I318" s="384"/>
      <c r="J318" s="384"/>
      <c r="K318" s="384"/>
      <c r="L318" s="384"/>
    </row>
    <row r="319" spans="1:12" x14ac:dyDescent="0.2">
      <c r="A319" s="384"/>
      <c r="B319" s="384"/>
      <c r="C319" s="384"/>
      <c r="D319" s="384"/>
      <c r="E319" s="384"/>
      <c r="F319" s="384"/>
      <c r="G319" s="384"/>
      <c r="H319" s="384"/>
      <c r="I319" s="384"/>
      <c r="J319" s="384"/>
      <c r="K319" s="384"/>
      <c r="L319" s="384"/>
    </row>
    <row r="320" spans="1:12" x14ac:dyDescent="0.2">
      <c r="A320" s="384"/>
      <c r="B320" s="384"/>
      <c r="C320" s="384"/>
      <c r="D320" s="384"/>
      <c r="E320" s="384"/>
      <c r="F320" s="384"/>
      <c r="G320" s="384"/>
      <c r="H320" s="384"/>
      <c r="I320" s="384"/>
      <c r="J320" s="384"/>
      <c r="K320" s="384"/>
      <c r="L320" s="384"/>
    </row>
    <row r="321" spans="1:12" x14ac:dyDescent="0.2">
      <c r="A321" s="384"/>
      <c r="B321" s="384"/>
      <c r="C321" s="384"/>
      <c r="D321" s="384"/>
      <c r="E321" s="384"/>
      <c r="F321" s="384"/>
      <c r="G321" s="384"/>
      <c r="H321" s="384"/>
      <c r="I321" s="384"/>
      <c r="J321" s="384"/>
      <c r="K321" s="384"/>
      <c r="L321" s="384"/>
    </row>
    <row r="322" spans="1:12" x14ac:dyDescent="0.2">
      <c r="A322" s="384"/>
      <c r="B322" s="384"/>
      <c r="C322" s="384"/>
      <c r="D322" s="384"/>
      <c r="E322" s="384"/>
      <c r="F322" s="384"/>
      <c r="G322" s="384"/>
      <c r="H322" s="384"/>
      <c r="I322" s="384"/>
      <c r="J322" s="384"/>
      <c r="K322" s="384"/>
      <c r="L322" s="384"/>
    </row>
    <row r="323" spans="1:12" x14ac:dyDescent="0.2">
      <c r="A323" s="384"/>
      <c r="B323" s="384"/>
      <c r="C323" s="384"/>
      <c r="D323" s="384"/>
      <c r="E323" s="384"/>
      <c r="F323" s="384"/>
      <c r="G323" s="384"/>
      <c r="H323" s="384"/>
      <c r="I323" s="384"/>
      <c r="J323" s="384"/>
      <c r="K323" s="384"/>
      <c r="L323" s="384"/>
    </row>
    <row r="324" spans="1:12" x14ac:dyDescent="0.2">
      <c r="A324" s="384"/>
      <c r="B324" s="384"/>
      <c r="C324" s="384"/>
      <c r="D324" s="384"/>
      <c r="E324" s="384"/>
      <c r="F324" s="384"/>
      <c r="G324" s="384"/>
      <c r="H324" s="384"/>
      <c r="I324" s="384"/>
      <c r="J324" s="384"/>
      <c r="K324" s="384"/>
      <c r="L324" s="384"/>
    </row>
    <row r="325" spans="1:12" x14ac:dyDescent="0.2">
      <c r="A325" s="384"/>
      <c r="B325" s="384"/>
      <c r="C325" s="384"/>
      <c r="D325" s="384"/>
      <c r="E325" s="384"/>
      <c r="F325" s="384"/>
      <c r="G325" s="384"/>
      <c r="H325" s="384"/>
      <c r="I325" s="384"/>
      <c r="J325" s="384"/>
      <c r="K325" s="384"/>
      <c r="L325" s="384"/>
    </row>
    <row r="326" spans="1:12" x14ac:dyDescent="0.2">
      <c r="A326" s="384"/>
      <c r="B326" s="384"/>
      <c r="C326" s="384"/>
      <c r="D326" s="384"/>
      <c r="E326" s="384"/>
      <c r="F326" s="384"/>
      <c r="G326" s="384"/>
      <c r="H326" s="384"/>
      <c r="I326" s="384"/>
      <c r="J326" s="384"/>
      <c r="K326" s="384"/>
      <c r="L326" s="384"/>
    </row>
    <row r="327" spans="1:12" x14ac:dyDescent="0.2">
      <c r="A327" s="384"/>
      <c r="B327" s="384"/>
      <c r="C327" s="384"/>
      <c r="D327" s="384"/>
      <c r="E327" s="384"/>
      <c r="F327" s="384"/>
      <c r="G327" s="384"/>
      <c r="H327" s="384"/>
      <c r="I327" s="384"/>
      <c r="J327" s="384"/>
      <c r="K327" s="384"/>
      <c r="L327" s="384"/>
    </row>
    <row r="328" spans="1:12" x14ac:dyDescent="0.2">
      <c r="A328" s="384"/>
      <c r="B328" s="384"/>
      <c r="C328" s="384"/>
      <c r="D328" s="384"/>
      <c r="E328" s="384"/>
      <c r="F328" s="384"/>
      <c r="G328" s="384"/>
      <c r="H328" s="384"/>
      <c r="I328" s="384"/>
      <c r="J328" s="384"/>
      <c r="K328" s="384"/>
      <c r="L328" s="384"/>
    </row>
    <row r="329" spans="1:12" x14ac:dyDescent="0.2">
      <c r="A329" s="384"/>
      <c r="B329" s="384"/>
      <c r="C329" s="384"/>
      <c r="D329" s="384"/>
      <c r="E329" s="384"/>
      <c r="F329" s="384"/>
      <c r="G329" s="384"/>
      <c r="H329" s="384"/>
      <c r="I329" s="384"/>
      <c r="J329" s="384"/>
      <c r="K329" s="384"/>
      <c r="L329" s="384"/>
    </row>
    <row r="330" spans="1:12" x14ac:dyDescent="0.2">
      <c r="A330" s="384"/>
      <c r="B330" s="384"/>
      <c r="C330" s="384"/>
      <c r="D330" s="384"/>
      <c r="E330" s="384"/>
      <c r="F330" s="384"/>
      <c r="G330" s="384"/>
      <c r="H330" s="384"/>
      <c r="I330" s="384"/>
      <c r="J330" s="384"/>
      <c r="K330" s="384"/>
      <c r="L330" s="384"/>
    </row>
    <row r="331" spans="1:12" x14ac:dyDescent="0.2">
      <c r="A331" s="384"/>
      <c r="B331" s="384"/>
      <c r="C331" s="384"/>
      <c r="D331" s="384"/>
      <c r="E331" s="384"/>
      <c r="F331" s="384"/>
      <c r="G331" s="384"/>
      <c r="H331" s="384"/>
      <c r="I331" s="384"/>
      <c r="J331" s="384"/>
      <c r="K331" s="384"/>
      <c r="L331" s="384"/>
    </row>
    <row r="332" spans="1:12" x14ac:dyDescent="0.2">
      <c r="A332" s="384"/>
      <c r="B332" s="384"/>
      <c r="C332" s="384"/>
      <c r="D332" s="384"/>
      <c r="E332" s="384"/>
      <c r="F332" s="384"/>
      <c r="G332" s="384"/>
      <c r="H332" s="384"/>
      <c r="I332" s="384"/>
      <c r="J332" s="384"/>
      <c r="K332" s="384"/>
      <c r="L332" s="384"/>
    </row>
    <row r="333" spans="1:12" x14ac:dyDescent="0.2">
      <c r="A333" s="384"/>
      <c r="B333" s="384"/>
      <c r="C333" s="384"/>
      <c r="D333" s="384"/>
      <c r="E333" s="384"/>
      <c r="F333" s="384"/>
      <c r="G333" s="384"/>
      <c r="H333" s="384"/>
      <c r="I333" s="384"/>
      <c r="J333" s="384"/>
      <c r="K333" s="384"/>
      <c r="L333" s="384"/>
    </row>
    <row r="334" spans="1:12" x14ac:dyDescent="0.2">
      <c r="A334" s="384"/>
      <c r="B334" s="384"/>
      <c r="C334" s="384"/>
      <c r="D334" s="384"/>
      <c r="E334" s="384"/>
      <c r="F334" s="384"/>
      <c r="G334" s="384"/>
      <c r="H334" s="384"/>
      <c r="I334" s="384"/>
      <c r="J334" s="384"/>
      <c r="K334" s="384"/>
      <c r="L334" s="384"/>
    </row>
    <row r="335" spans="1:12" x14ac:dyDescent="0.2">
      <c r="A335" s="384"/>
      <c r="B335" s="384"/>
      <c r="C335" s="384"/>
      <c r="D335" s="384"/>
      <c r="E335" s="384"/>
      <c r="F335" s="384"/>
      <c r="G335" s="384"/>
      <c r="H335" s="384"/>
      <c r="I335" s="384"/>
      <c r="J335" s="384"/>
      <c r="K335" s="384"/>
      <c r="L335" s="384"/>
    </row>
    <row r="336" spans="1:12" x14ac:dyDescent="0.2">
      <c r="A336" s="384"/>
      <c r="B336" s="384"/>
      <c r="C336" s="384"/>
      <c r="D336" s="384"/>
      <c r="E336" s="384"/>
      <c r="F336" s="384"/>
      <c r="G336" s="384"/>
      <c r="H336" s="384"/>
      <c r="I336" s="384"/>
      <c r="J336" s="384"/>
      <c r="K336" s="384"/>
      <c r="L336" s="384"/>
    </row>
    <row r="337" spans="1:12" x14ac:dyDescent="0.2">
      <c r="A337" s="384"/>
      <c r="B337" s="384"/>
      <c r="C337" s="384"/>
      <c r="D337" s="384"/>
      <c r="E337" s="384"/>
      <c r="F337" s="384"/>
      <c r="G337" s="384"/>
      <c r="H337" s="384"/>
      <c r="I337" s="384"/>
      <c r="J337" s="384"/>
      <c r="K337" s="384"/>
      <c r="L337" s="384"/>
    </row>
    <row r="338" spans="1:12" x14ac:dyDescent="0.2">
      <c r="A338" s="384"/>
      <c r="B338" s="384"/>
      <c r="C338" s="384"/>
      <c r="D338" s="384"/>
      <c r="E338" s="384"/>
      <c r="F338" s="384"/>
      <c r="G338" s="384"/>
      <c r="H338" s="384"/>
      <c r="I338" s="384"/>
      <c r="J338" s="384"/>
      <c r="K338" s="384"/>
      <c r="L338" s="384"/>
    </row>
    <row r="339" spans="1:12" x14ac:dyDescent="0.2">
      <c r="A339" s="384"/>
      <c r="B339" s="384"/>
      <c r="C339" s="384"/>
      <c r="D339" s="384"/>
      <c r="E339" s="384"/>
      <c r="F339" s="384"/>
      <c r="G339" s="384"/>
      <c r="H339" s="384"/>
      <c r="I339" s="384"/>
      <c r="J339" s="384"/>
      <c r="K339" s="384"/>
      <c r="L339" s="384"/>
    </row>
    <row r="340" spans="1:12" x14ac:dyDescent="0.2">
      <c r="A340" s="384"/>
      <c r="B340" s="384"/>
      <c r="C340" s="384"/>
      <c r="D340" s="384"/>
      <c r="E340" s="384"/>
      <c r="F340" s="384"/>
      <c r="G340" s="384"/>
      <c r="H340" s="384"/>
      <c r="I340" s="384"/>
      <c r="J340" s="384"/>
      <c r="K340" s="384"/>
      <c r="L340" s="384"/>
    </row>
    <row r="341" spans="1:12" x14ac:dyDescent="0.2">
      <c r="A341" s="384"/>
      <c r="B341" s="384"/>
      <c r="C341" s="384"/>
      <c r="D341" s="384"/>
      <c r="E341" s="384"/>
      <c r="F341" s="384"/>
      <c r="G341" s="384"/>
      <c r="H341" s="384"/>
      <c r="I341" s="384"/>
      <c r="J341" s="384"/>
      <c r="K341" s="384"/>
      <c r="L341" s="384"/>
    </row>
    <row r="342" spans="1:12" x14ac:dyDescent="0.2">
      <c r="A342" s="384"/>
      <c r="B342" s="384"/>
      <c r="C342" s="384"/>
      <c r="D342" s="384"/>
      <c r="E342" s="384"/>
      <c r="F342" s="384"/>
      <c r="G342" s="384"/>
      <c r="H342" s="384"/>
      <c r="I342" s="384"/>
      <c r="J342" s="384"/>
      <c r="K342" s="384"/>
      <c r="L342" s="384"/>
    </row>
    <row r="343" spans="1:12" x14ac:dyDescent="0.2">
      <c r="A343" s="384"/>
      <c r="B343" s="384"/>
      <c r="C343" s="384"/>
      <c r="D343" s="384"/>
      <c r="E343" s="384"/>
      <c r="F343" s="384"/>
      <c r="G343" s="384"/>
      <c r="H343" s="384"/>
      <c r="I343" s="384"/>
      <c r="J343" s="384"/>
      <c r="K343" s="384"/>
      <c r="L343" s="384"/>
    </row>
    <row r="344" spans="1:12" x14ac:dyDescent="0.2">
      <c r="A344" s="384"/>
      <c r="B344" s="384"/>
      <c r="C344" s="384"/>
      <c r="D344" s="384"/>
      <c r="E344" s="384"/>
      <c r="F344" s="384"/>
      <c r="G344" s="384"/>
      <c r="H344" s="384"/>
      <c r="I344" s="384"/>
      <c r="J344" s="384"/>
      <c r="K344" s="384"/>
      <c r="L344" s="384"/>
    </row>
    <row r="345" spans="1:12" x14ac:dyDescent="0.2">
      <c r="A345" s="384"/>
      <c r="B345" s="384"/>
      <c r="C345" s="384"/>
      <c r="D345" s="384"/>
      <c r="E345" s="384"/>
      <c r="F345" s="384"/>
      <c r="G345" s="384"/>
      <c r="H345" s="384"/>
      <c r="I345" s="384"/>
      <c r="J345" s="384"/>
      <c r="K345" s="384"/>
      <c r="L345" s="384"/>
    </row>
    <row r="346" spans="1:12" x14ac:dyDescent="0.2">
      <c r="A346" s="384"/>
      <c r="B346" s="384"/>
      <c r="C346" s="384"/>
      <c r="D346" s="384"/>
      <c r="E346" s="384"/>
      <c r="F346" s="384"/>
      <c r="G346" s="384"/>
      <c r="H346" s="384"/>
      <c r="I346" s="384"/>
      <c r="J346" s="384"/>
      <c r="K346" s="384"/>
      <c r="L346" s="384"/>
    </row>
    <row r="347" spans="1:12" x14ac:dyDescent="0.2">
      <c r="A347" s="384"/>
      <c r="B347" s="384"/>
      <c r="C347" s="384"/>
      <c r="D347" s="384"/>
      <c r="E347" s="384"/>
      <c r="F347" s="384"/>
      <c r="G347" s="384"/>
      <c r="H347" s="384"/>
      <c r="I347" s="384"/>
      <c r="J347" s="384"/>
      <c r="K347" s="384"/>
      <c r="L347" s="384"/>
    </row>
    <row r="348" spans="1:12" x14ac:dyDescent="0.2">
      <c r="A348" s="384"/>
      <c r="B348" s="384"/>
      <c r="C348" s="384"/>
      <c r="D348" s="384"/>
      <c r="E348" s="384"/>
      <c r="F348" s="384"/>
      <c r="G348" s="384"/>
      <c r="H348" s="384"/>
      <c r="I348" s="384"/>
      <c r="J348" s="384"/>
      <c r="K348" s="384"/>
      <c r="L348" s="384"/>
    </row>
    <row r="349" spans="1:12" x14ac:dyDescent="0.2">
      <c r="A349" s="384"/>
      <c r="B349" s="384"/>
      <c r="C349" s="384"/>
      <c r="D349" s="384"/>
      <c r="E349" s="384"/>
      <c r="F349" s="384"/>
      <c r="G349" s="384"/>
      <c r="H349" s="384"/>
      <c r="I349" s="384"/>
      <c r="J349" s="384"/>
      <c r="K349" s="384"/>
      <c r="L349" s="384"/>
    </row>
    <row r="350" spans="1:12" x14ac:dyDescent="0.2">
      <c r="A350" s="384"/>
      <c r="B350" s="384"/>
      <c r="C350" s="384"/>
      <c r="D350" s="384"/>
      <c r="E350" s="384"/>
      <c r="F350" s="384"/>
      <c r="G350" s="384"/>
      <c r="H350" s="384"/>
      <c r="I350" s="384"/>
      <c r="J350" s="384"/>
      <c r="K350" s="384"/>
      <c r="L350" s="384"/>
    </row>
    <row r="351" spans="1:12" x14ac:dyDescent="0.2">
      <c r="A351" s="384"/>
      <c r="B351" s="384"/>
      <c r="C351" s="384"/>
      <c r="D351" s="384"/>
      <c r="E351" s="384"/>
      <c r="F351" s="384"/>
      <c r="G351" s="384"/>
      <c r="H351" s="384"/>
      <c r="I351" s="384"/>
      <c r="J351" s="384"/>
      <c r="K351" s="384"/>
      <c r="L351" s="384"/>
    </row>
    <row r="352" spans="1:12" x14ac:dyDescent="0.2">
      <c r="A352" s="384"/>
      <c r="B352" s="384"/>
      <c r="C352" s="384"/>
      <c r="D352" s="384"/>
      <c r="E352" s="384"/>
      <c r="F352" s="384"/>
      <c r="G352" s="384"/>
      <c r="H352" s="384"/>
      <c r="I352" s="384"/>
      <c r="J352" s="384"/>
      <c r="K352" s="384"/>
      <c r="L352" s="384"/>
    </row>
    <row r="353" spans="1:12" x14ac:dyDescent="0.2">
      <c r="A353" s="384"/>
      <c r="B353" s="384"/>
      <c r="C353" s="384"/>
      <c r="D353" s="384"/>
      <c r="E353" s="384"/>
      <c r="F353" s="384"/>
      <c r="G353" s="384"/>
      <c r="H353" s="384"/>
      <c r="I353" s="384"/>
      <c r="J353" s="384"/>
      <c r="K353" s="384"/>
      <c r="L353" s="384"/>
    </row>
    <row r="354" spans="1:12" x14ac:dyDescent="0.2">
      <c r="A354" s="384"/>
      <c r="B354" s="384"/>
      <c r="C354" s="384"/>
      <c r="D354" s="384"/>
      <c r="E354" s="384"/>
      <c r="F354" s="384"/>
      <c r="G354" s="384"/>
      <c r="H354" s="384"/>
      <c r="I354" s="384"/>
      <c r="J354" s="384"/>
      <c r="K354" s="384"/>
      <c r="L354" s="384"/>
    </row>
  </sheetData>
  <sheetProtection sheet="1" objects="1" scenarios="1"/>
  <mergeCells count="55">
    <mergeCell ref="B6:K6"/>
    <mergeCell ref="B7:K7"/>
    <mergeCell ref="B8:K8"/>
    <mergeCell ref="B10:K10"/>
    <mergeCell ref="B12:K12"/>
    <mergeCell ref="C41:D41"/>
    <mergeCell ref="B110:K110"/>
    <mergeCell ref="C120:D120"/>
    <mergeCell ref="B106:K106"/>
    <mergeCell ref="B108:K108"/>
    <mergeCell ref="B86:K86"/>
    <mergeCell ref="B48:C48"/>
    <mergeCell ref="G50:H50"/>
    <mergeCell ref="I51:K51"/>
    <mergeCell ref="B52:K52"/>
    <mergeCell ref="B53:K53"/>
    <mergeCell ref="B58:K58"/>
    <mergeCell ref="B55:K55"/>
    <mergeCell ref="B57:K57"/>
    <mergeCell ref="C74:D74"/>
    <mergeCell ref="C77:D77"/>
    <mergeCell ref="F23:G23"/>
    <mergeCell ref="B30:K30"/>
    <mergeCell ref="B31:K31"/>
    <mergeCell ref="B33:K33"/>
    <mergeCell ref="B35:K35"/>
    <mergeCell ref="C25:D25"/>
    <mergeCell ref="C80:D80"/>
    <mergeCell ref="C83:D83"/>
    <mergeCell ref="B85:K85"/>
    <mergeCell ref="B88:K88"/>
    <mergeCell ref="B90:K90"/>
    <mergeCell ref="C94:D94"/>
    <mergeCell ref="C97:D97"/>
    <mergeCell ref="C100:D100"/>
    <mergeCell ref="C136:D136"/>
    <mergeCell ref="C137:D137"/>
    <mergeCell ref="C114:D114"/>
    <mergeCell ref="C117:D117"/>
    <mergeCell ref="B125:K125"/>
    <mergeCell ref="B126:K126"/>
    <mergeCell ref="B128:K128"/>
    <mergeCell ref="B130:K130"/>
    <mergeCell ref="C123:D123"/>
    <mergeCell ref="C103:D103"/>
    <mergeCell ref="C133:D133"/>
    <mergeCell ref="H133:I133"/>
    <mergeCell ref="C134:D134"/>
    <mergeCell ref="C148:D148"/>
    <mergeCell ref="J148:K148"/>
    <mergeCell ref="H134:I134"/>
    <mergeCell ref="B105:K105"/>
    <mergeCell ref="B144:K144"/>
    <mergeCell ref="C147:D147"/>
    <mergeCell ref="J147:K147"/>
  </mergeCells>
  <pageMargins left="0.7" right="0.7" top="0.75" bottom="0.75" header="0.3" footer="0.3"/>
  <pageSetup scale="71" orientation="portrait" blackAndWhite="1"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AF71-2199-4E92-93E6-513536D00FC2}">
  <dimension ref="A1:A36"/>
  <sheetViews>
    <sheetView workbookViewId="0">
      <selection activeCell="I27" sqref="I27"/>
    </sheetView>
  </sheetViews>
  <sheetFormatPr defaultRowHeight="15.75" x14ac:dyDescent="0.25"/>
  <cols>
    <col min="1" max="1" width="71.21875" style="1" customWidth="1"/>
    <col min="2" max="16384" width="8.88671875" style="1"/>
  </cols>
  <sheetData>
    <row r="1" spans="1:1" ht="16.5" x14ac:dyDescent="0.25">
      <c r="A1" s="730" t="s">
        <v>528</v>
      </c>
    </row>
    <row r="3" spans="1:1" ht="31.5" x14ac:dyDescent="0.25">
      <c r="A3" s="590" t="s">
        <v>529</v>
      </c>
    </row>
    <row r="4" spans="1:1" x14ac:dyDescent="0.25">
      <c r="A4" s="785" t="s">
        <v>1017</v>
      </c>
    </row>
    <row r="7" spans="1:1" ht="31.5" x14ac:dyDescent="0.25">
      <c r="A7" s="590" t="s">
        <v>530</v>
      </c>
    </row>
    <row r="8" spans="1:1" x14ac:dyDescent="0.25">
      <c r="A8" s="785" t="s">
        <v>1018</v>
      </c>
    </row>
    <row r="11" spans="1:1" x14ac:dyDescent="0.25">
      <c r="A11" s="1" t="s">
        <v>1019</v>
      </c>
    </row>
    <row r="12" spans="1:1" x14ac:dyDescent="0.25">
      <c r="A12" s="785" t="s">
        <v>1020</v>
      </c>
    </row>
    <row r="15" spans="1:1" x14ac:dyDescent="0.25">
      <c r="A15" s="1" t="s">
        <v>531</v>
      </c>
    </row>
    <row r="16" spans="1:1" x14ac:dyDescent="0.25">
      <c r="A16" s="785" t="s">
        <v>1021</v>
      </c>
    </row>
    <row r="19" spans="1:1" x14ac:dyDescent="0.25">
      <c r="A19" s="1" t="s">
        <v>532</v>
      </c>
    </row>
    <row r="20" spans="1:1" x14ac:dyDescent="0.25">
      <c r="A20" s="785" t="s">
        <v>1022</v>
      </c>
    </row>
    <row r="23" spans="1:1" x14ac:dyDescent="0.25">
      <c r="A23" s="1" t="s">
        <v>1023</v>
      </c>
    </row>
    <row r="24" spans="1:1" x14ac:dyDescent="0.25">
      <c r="A24" s="785" t="s">
        <v>1024</v>
      </c>
    </row>
    <row r="27" spans="1:1" x14ac:dyDescent="0.25">
      <c r="A27" s="1" t="s">
        <v>533</v>
      </c>
    </row>
    <row r="28" spans="1:1" x14ac:dyDescent="0.25">
      <c r="A28" s="785" t="s">
        <v>1025</v>
      </c>
    </row>
    <row r="31" spans="1:1" x14ac:dyDescent="0.25">
      <c r="A31" s="1" t="s">
        <v>534</v>
      </c>
    </row>
    <row r="32" spans="1:1" x14ac:dyDescent="0.25">
      <c r="A32" s="785" t="s">
        <v>1026</v>
      </c>
    </row>
    <row r="35" spans="1:1" x14ac:dyDescent="0.25">
      <c r="A35" s="1" t="s">
        <v>535</v>
      </c>
    </row>
    <row r="36" spans="1:1" x14ac:dyDescent="0.25">
      <c r="A36" s="785" t="s">
        <v>1027</v>
      </c>
    </row>
  </sheetData>
  <sheetProtection sheet="1" objects="1" scenarios="1"/>
  <hyperlinks>
    <hyperlink ref="A36" r:id="rId1" xr:uid="{BCC4F62A-419D-4243-A297-8DACFD9C27A5}"/>
  </hyperlinks>
  <pageMargins left="0.7" right="0.7" top="0.75" bottom="0.75" header="0.3" footer="0.3"/>
  <pageSetup orientation="portrait"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3"/>
  <dimension ref="A1:A283"/>
  <sheetViews>
    <sheetView workbookViewId="0">
      <selection activeCell="A12" sqref="A12"/>
    </sheetView>
  </sheetViews>
  <sheetFormatPr defaultRowHeight="15.75" x14ac:dyDescent="0.2"/>
  <cols>
    <col min="1" max="1" width="82.88671875" style="2" customWidth="1"/>
    <col min="2" max="16384" width="8.88671875" style="2"/>
  </cols>
  <sheetData>
    <row r="1" spans="1:1" x14ac:dyDescent="0.2">
      <c r="A1" s="786" t="s">
        <v>1044</v>
      </c>
    </row>
    <row r="2" spans="1:1" x14ac:dyDescent="0.2">
      <c r="A2" s="4" t="s">
        <v>1028</v>
      </c>
    </row>
    <row r="3" spans="1:1" x14ac:dyDescent="0.2">
      <c r="A3" s="4" t="s">
        <v>1029</v>
      </c>
    </row>
    <row r="4" spans="1:1" ht="31.5" x14ac:dyDescent="0.2">
      <c r="A4" s="4" t="s">
        <v>1030</v>
      </c>
    </row>
    <row r="5" spans="1:1" ht="31.5" x14ac:dyDescent="0.2">
      <c r="A5" s="4" t="s">
        <v>1031</v>
      </c>
    </row>
    <row r="6" spans="1:1" x14ac:dyDescent="0.2">
      <c r="A6" s="4" t="s">
        <v>1032</v>
      </c>
    </row>
    <row r="7" spans="1:1" ht="31.5" x14ac:dyDescent="0.2">
      <c r="A7" s="4" t="s">
        <v>1033</v>
      </c>
    </row>
    <row r="8" spans="1:1" x14ac:dyDescent="0.2">
      <c r="A8" s="4" t="s">
        <v>1034</v>
      </c>
    </row>
    <row r="9" spans="1:1" x14ac:dyDescent="0.2">
      <c r="A9" s="4" t="s">
        <v>1035</v>
      </c>
    </row>
    <row r="10" spans="1:1" x14ac:dyDescent="0.2">
      <c r="A10" s="4" t="s">
        <v>1036</v>
      </c>
    </row>
    <row r="11" spans="1:1" x14ac:dyDescent="0.2">
      <c r="A11" s="4" t="s">
        <v>1045</v>
      </c>
    </row>
    <row r="12" spans="1:1" x14ac:dyDescent="0.2">
      <c r="A12" s="4"/>
    </row>
    <row r="13" spans="1:1" x14ac:dyDescent="0.2">
      <c r="A13" s="259" t="s">
        <v>868</v>
      </c>
    </row>
    <row r="14" spans="1:1" x14ac:dyDescent="0.2">
      <c r="A14" s="2" t="s">
        <v>869</v>
      </c>
    </row>
    <row r="15" spans="1:1" x14ac:dyDescent="0.2">
      <c r="A15" s="2" t="s">
        <v>872</v>
      </c>
    </row>
    <row r="16" spans="1:1" x14ac:dyDescent="0.2">
      <c r="A16" s="2" t="s">
        <v>870</v>
      </c>
    </row>
    <row r="17" spans="1:1" x14ac:dyDescent="0.2">
      <c r="A17" s="2" t="s">
        <v>871</v>
      </c>
    </row>
    <row r="19" spans="1:1" x14ac:dyDescent="0.25">
      <c r="A19" s="675" t="s">
        <v>865</v>
      </c>
    </row>
    <row r="20" spans="1:1" x14ac:dyDescent="0.2">
      <c r="A20" s="2" t="s">
        <v>860</v>
      </c>
    </row>
    <row r="21" spans="1:1" x14ac:dyDescent="0.2">
      <c r="A21" s="2" t="s">
        <v>861</v>
      </c>
    </row>
    <row r="22" spans="1:1" x14ac:dyDescent="0.2">
      <c r="A22" s="2" t="s">
        <v>862</v>
      </c>
    </row>
    <row r="23" spans="1:1" x14ac:dyDescent="0.2">
      <c r="A23" s="2" t="s">
        <v>863</v>
      </c>
    </row>
    <row r="24" spans="1:1" x14ac:dyDescent="0.2">
      <c r="A24" s="2" t="s">
        <v>864</v>
      </c>
    </row>
    <row r="26" spans="1:1" x14ac:dyDescent="0.25">
      <c r="A26" s="675" t="s">
        <v>858</v>
      </c>
    </row>
    <row r="27" spans="1:1" x14ac:dyDescent="0.2">
      <c r="A27" s="2" t="s">
        <v>852</v>
      </c>
    </row>
    <row r="28" spans="1:1" x14ac:dyDescent="0.2">
      <c r="A28" s="2" t="s">
        <v>853</v>
      </c>
    </row>
    <row r="29" spans="1:1" x14ac:dyDescent="0.2">
      <c r="A29" s="2" t="s">
        <v>854</v>
      </c>
    </row>
    <row r="30" spans="1:1" x14ac:dyDescent="0.2">
      <c r="A30" s="2" t="s">
        <v>855</v>
      </c>
    </row>
    <row r="31" spans="1:1" x14ac:dyDescent="0.2">
      <c r="A31" s="2" t="s">
        <v>856</v>
      </c>
    </row>
    <row r="32" spans="1:1" x14ac:dyDescent="0.2">
      <c r="A32" s="2" t="s">
        <v>857</v>
      </c>
    </row>
    <row r="34" spans="1:1" x14ac:dyDescent="0.25">
      <c r="A34" s="675" t="s">
        <v>842</v>
      </c>
    </row>
    <row r="35" spans="1:1" x14ac:dyDescent="0.2">
      <c r="A35" s="2" t="s">
        <v>843</v>
      </c>
    </row>
    <row r="36" spans="1:1" x14ac:dyDescent="0.2">
      <c r="A36" s="2" t="s">
        <v>844</v>
      </c>
    </row>
    <row r="37" spans="1:1" x14ac:dyDescent="0.2">
      <c r="A37" s="2" t="s">
        <v>845</v>
      </c>
    </row>
    <row r="38" spans="1:1" x14ac:dyDescent="0.2">
      <c r="A38" s="2" t="s">
        <v>846</v>
      </c>
    </row>
    <row r="39" spans="1:1" x14ac:dyDescent="0.2">
      <c r="A39" s="2" t="s">
        <v>847</v>
      </c>
    </row>
    <row r="40" spans="1:1" x14ac:dyDescent="0.2">
      <c r="A40" s="2" t="s">
        <v>848</v>
      </c>
    </row>
    <row r="41" spans="1:1" x14ac:dyDescent="0.2">
      <c r="A41" s="2" t="s">
        <v>849</v>
      </c>
    </row>
    <row r="42" spans="1:1" x14ac:dyDescent="0.2">
      <c r="A42" s="2" t="s">
        <v>850</v>
      </c>
    </row>
    <row r="44" spans="1:1" x14ac:dyDescent="0.25">
      <c r="A44" s="675" t="s">
        <v>836</v>
      </c>
    </row>
    <row r="45" spans="1:1" x14ac:dyDescent="0.2">
      <c r="A45" s="597" t="s">
        <v>838</v>
      </c>
    </row>
    <row r="46" spans="1:1" x14ac:dyDescent="0.2">
      <c r="A46" s="597" t="s">
        <v>837</v>
      </c>
    </row>
    <row r="48" spans="1:1" x14ac:dyDescent="0.25">
      <c r="A48" s="647" t="s">
        <v>834</v>
      </c>
    </row>
    <row r="49" spans="1:1" x14ac:dyDescent="0.25">
      <c r="A49" s="1" t="s">
        <v>835</v>
      </c>
    </row>
    <row r="51" spans="1:1" x14ac:dyDescent="0.25">
      <c r="A51" s="647" t="s">
        <v>832</v>
      </c>
    </row>
    <row r="52" spans="1:1" x14ac:dyDescent="0.25">
      <c r="A52" s="1" t="s">
        <v>827</v>
      </c>
    </row>
    <row r="53" spans="1:1" x14ac:dyDescent="0.25">
      <c r="A53" s="1" t="s">
        <v>828</v>
      </c>
    </row>
    <row r="54" spans="1:1" x14ac:dyDescent="0.25">
      <c r="A54" s="1" t="s">
        <v>829</v>
      </c>
    </row>
    <row r="55" spans="1:1" x14ac:dyDescent="0.25">
      <c r="A55" s="1" t="s">
        <v>830</v>
      </c>
    </row>
    <row r="56" spans="1:1" x14ac:dyDescent="0.25">
      <c r="A56" s="1" t="s">
        <v>831</v>
      </c>
    </row>
    <row r="57" spans="1:1" x14ac:dyDescent="0.25">
      <c r="A57" s="674" t="s">
        <v>833</v>
      </c>
    </row>
    <row r="59" spans="1:1" x14ac:dyDescent="0.2">
      <c r="A59" s="331" t="s">
        <v>824</v>
      </c>
    </row>
    <row r="60" spans="1:1" x14ac:dyDescent="0.2">
      <c r="A60" s="597" t="s">
        <v>826</v>
      </c>
    </row>
    <row r="61" spans="1:1" x14ac:dyDescent="0.2">
      <c r="A61" s="2" t="s">
        <v>825</v>
      </c>
    </row>
    <row r="63" spans="1:1" x14ac:dyDescent="0.2">
      <c r="A63" s="331" t="s">
        <v>822</v>
      </c>
    </row>
    <row r="64" spans="1:1" x14ac:dyDescent="0.2">
      <c r="A64" s="597" t="s">
        <v>821</v>
      </c>
    </row>
    <row r="66" spans="1:1" x14ac:dyDescent="0.2">
      <c r="A66" s="331" t="s">
        <v>799</v>
      </c>
    </row>
    <row r="67" spans="1:1" x14ac:dyDescent="0.2">
      <c r="A67" s="597" t="s">
        <v>798</v>
      </c>
    </row>
    <row r="69" spans="1:1" x14ac:dyDescent="0.2">
      <c r="A69" s="331" t="s">
        <v>796</v>
      </c>
    </row>
    <row r="70" spans="1:1" x14ac:dyDescent="0.2">
      <c r="A70" s="597" t="s">
        <v>797</v>
      </c>
    </row>
    <row r="72" spans="1:1" x14ac:dyDescent="0.2">
      <c r="A72" s="331" t="s">
        <v>776</v>
      </c>
    </row>
    <row r="73" spans="1:1" x14ac:dyDescent="0.2">
      <c r="A73" s="597" t="s">
        <v>777</v>
      </c>
    </row>
    <row r="75" spans="1:1" x14ac:dyDescent="0.2">
      <c r="A75" s="331" t="s">
        <v>778</v>
      </c>
    </row>
    <row r="76" spans="1:1" x14ac:dyDescent="0.2">
      <c r="A76" s="595" t="s">
        <v>775</v>
      </c>
    </row>
    <row r="78" spans="1:1" x14ac:dyDescent="0.2">
      <c r="A78" s="331" t="s">
        <v>779</v>
      </c>
    </row>
    <row r="79" spans="1:1" x14ac:dyDescent="0.2">
      <c r="A79" s="2" t="s">
        <v>774</v>
      </c>
    </row>
    <row r="81" spans="1:1" x14ac:dyDescent="0.2">
      <c r="A81" s="331" t="s">
        <v>780</v>
      </c>
    </row>
    <row r="82" spans="1:1" x14ac:dyDescent="0.2">
      <c r="A82" s="2" t="s">
        <v>773</v>
      </c>
    </row>
    <row r="84" spans="1:1" x14ac:dyDescent="0.2">
      <c r="A84" s="331" t="s">
        <v>781</v>
      </c>
    </row>
    <row r="85" spans="1:1" x14ac:dyDescent="0.2">
      <c r="A85" s="584" t="s">
        <v>772</v>
      </c>
    </row>
    <row r="87" spans="1:1" x14ac:dyDescent="0.2">
      <c r="A87" s="331" t="s">
        <v>782</v>
      </c>
    </row>
    <row r="88" spans="1:1" x14ac:dyDescent="0.2">
      <c r="A88" s="2" t="s">
        <v>771</v>
      </c>
    </row>
    <row r="90" spans="1:1" x14ac:dyDescent="0.2">
      <c r="A90" s="331" t="s">
        <v>783</v>
      </c>
    </row>
    <row r="91" spans="1:1" x14ac:dyDescent="0.2">
      <c r="A91" s="2" t="s">
        <v>770</v>
      </c>
    </row>
    <row r="93" spans="1:1" x14ac:dyDescent="0.2">
      <c r="A93" s="331" t="s">
        <v>784</v>
      </c>
    </row>
    <row r="94" spans="1:1" x14ac:dyDescent="0.2">
      <c r="A94" s="2" t="s">
        <v>768</v>
      </c>
    </row>
    <row r="95" spans="1:1" x14ac:dyDescent="0.2">
      <c r="A95" s="2" t="s">
        <v>769</v>
      </c>
    </row>
    <row r="97" spans="1:1" x14ac:dyDescent="0.2">
      <c r="A97" s="331" t="s">
        <v>785</v>
      </c>
    </row>
    <row r="98" spans="1:1" x14ac:dyDescent="0.2">
      <c r="A98" s="584" t="s">
        <v>733</v>
      </c>
    </row>
    <row r="99" spans="1:1" x14ac:dyDescent="0.2">
      <c r="A99" s="2" t="s">
        <v>734</v>
      </c>
    </row>
    <row r="100" spans="1:1" x14ac:dyDescent="0.2">
      <c r="A100" s="2" t="s">
        <v>735</v>
      </c>
    </row>
    <row r="101" spans="1:1" x14ac:dyDescent="0.2">
      <c r="A101" s="2" t="s">
        <v>736</v>
      </c>
    </row>
    <row r="102" spans="1:1" x14ac:dyDescent="0.2">
      <c r="A102" s="2" t="s">
        <v>737</v>
      </c>
    </row>
    <row r="103" spans="1:1" x14ac:dyDescent="0.2">
      <c r="A103" s="2" t="s">
        <v>738</v>
      </c>
    </row>
    <row r="104" spans="1:1" x14ac:dyDescent="0.2">
      <c r="A104" s="2" t="s">
        <v>739</v>
      </c>
    </row>
    <row r="105" spans="1:1" x14ac:dyDescent="0.2">
      <c r="A105" s="2" t="s">
        <v>740</v>
      </c>
    </row>
    <row r="106" spans="1:1" x14ac:dyDescent="0.2">
      <c r="A106" s="2" t="s">
        <v>741</v>
      </c>
    </row>
    <row r="107" spans="1:1" x14ac:dyDescent="0.2">
      <c r="A107" s="2" t="s">
        <v>742</v>
      </c>
    </row>
    <row r="108" spans="1:1" x14ac:dyDescent="0.2">
      <c r="A108" s="2" t="s">
        <v>743</v>
      </c>
    </row>
    <row r="109" spans="1:1" x14ac:dyDescent="0.2">
      <c r="A109" s="2" t="s">
        <v>744</v>
      </c>
    </row>
    <row r="110" spans="1:1" x14ac:dyDescent="0.2">
      <c r="A110" s="2" t="s">
        <v>745</v>
      </c>
    </row>
    <row r="111" spans="1:1" x14ac:dyDescent="0.2">
      <c r="A111" s="2" t="s">
        <v>746</v>
      </c>
    </row>
    <row r="112" spans="1:1" x14ac:dyDescent="0.2">
      <c r="A112" s="2" t="s">
        <v>747</v>
      </c>
    </row>
    <row r="113" spans="1:1" x14ac:dyDescent="0.2">
      <c r="A113" s="2" t="s">
        <v>748</v>
      </c>
    </row>
    <row r="114" spans="1:1" ht="47.25" x14ac:dyDescent="0.2">
      <c r="A114" s="4" t="s">
        <v>749</v>
      </c>
    </row>
    <row r="115" spans="1:1" x14ac:dyDescent="0.2">
      <c r="A115" s="3" t="s">
        <v>750</v>
      </c>
    </row>
    <row r="116" spans="1:1" ht="31.5" x14ac:dyDescent="0.2">
      <c r="A116" s="4" t="s">
        <v>751</v>
      </c>
    </row>
    <row r="117" spans="1:1" x14ac:dyDescent="0.2">
      <c r="A117" s="2" t="s">
        <v>752</v>
      </c>
    </row>
    <row r="118" spans="1:1" x14ac:dyDescent="0.2">
      <c r="A118" s="2" t="s">
        <v>753</v>
      </c>
    </row>
    <row r="119" spans="1:1" x14ac:dyDescent="0.2">
      <c r="A119" s="2" t="s">
        <v>754</v>
      </c>
    </row>
    <row r="120" spans="1:1" x14ac:dyDescent="0.2">
      <c r="A120" s="2" t="s">
        <v>755</v>
      </c>
    </row>
    <row r="121" spans="1:1" x14ac:dyDescent="0.2">
      <c r="A121" s="2" t="s">
        <v>756</v>
      </c>
    </row>
    <row r="122" spans="1:1" x14ac:dyDescent="0.2">
      <c r="A122" s="2" t="s">
        <v>757</v>
      </c>
    </row>
    <row r="123" spans="1:1" x14ac:dyDescent="0.2">
      <c r="A123" s="2" t="s">
        <v>758</v>
      </c>
    </row>
    <row r="124" spans="1:1" x14ac:dyDescent="0.2">
      <c r="A124" s="2" t="s">
        <v>759</v>
      </c>
    </row>
    <row r="125" spans="1:1" x14ac:dyDescent="0.2">
      <c r="A125" s="2" t="s">
        <v>760</v>
      </c>
    </row>
    <row r="126" spans="1:1" x14ac:dyDescent="0.2">
      <c r="A126" s="2" t="s">
        <v>761</v>
      </c>
    </row>
    <row r="127" spans="1:1" x14ac:dyDescent="0.2">
      <c r="A127" s="2" t="s">
        <v>762</v>
      </c>
    </row>
    <row r="128" spans="1:1" x14ac:dyDescent="0.2">
      <c r="A128" s="2" t="s">
        <v>763</v>
      </c>
    </row>
    <row r="129" spans="1:1" x14ac:dyDescent="0.2">
      <c r="A129" s="2" t="s">
        <v>764</v>
      </c>
    </row>
    <row r="130" spans="1:1" x14ac:dyDescent="0.2">
      <c r="A130" s="2" t="s">
        <v>765</v>
      </c>
    </row>
    <row r="131" spans="1:1" x14ac:dyDescent="0.2">
      <c r="A131" s="2" t="s">
        <v>766</v>
      </c>
    </row>
    <row r="132" spans="1:1" x14ac:dyDescent="0.2">
      <c r="A132" s="2" t="s">
        <v>767</v>
      </c>
    </row>
    <row r="134" spans="1:1" x14ac:dyDescent="0.2">
      <c r="A134" s="331" t="s">
        <v>786</v>
      </c>
    </row>
    <row r="135" spans="1:1" x14ac:dyDescent="0.2">
      <c r="A135" s="2" t="s">
        <v>659</v>
      </c>
    </row>
    <row r="136" spans="1:1" x14ac:dyDescent="0.2">
      <c r="A136" s="2" t="s">
        <v>660</v>
      </c>
    </row>
    <row r="138" spans="1:1" x14ac:dyDescent="0.2">
      <c r="A138" s="331" t="s">
        <v>787</v>
      </c>
    </row>
    <row r="139" spans="1:1" x14ac:dyDescent="0.2">
      <c r="A139" s="2" t="s">
        <v>658</v>
      </c>
    </row>
    <row r="141" spans="1:1" x14ac:dyDescent="0.2">
      <c r="A141" s="331" t="s">
        <v>788</v>
      </c>
    </row>
    <row r="142" spans="1:1" x14ac:dyDescent="0.2">
      <c r="A142" s="2" t="s">
        <v>657</v>
      </c>
    </row>
    <row r="144" spans="1:1" x14ac:dyDescent="0.2">
      <c r="A144" s="331" t="s">
        <v>789</v>
      </c>
    </row>
    <row r="145" spans="1:1" x14ac:dyDescent="0.2">
      <c r="A145" s="333" t="s">
        <v>656</v>
      </c>
    </row>
    <row r="147" spans="1:1" x14ac:dyDescent="0.2">
      <c r="A147" s="331" t="s">
        <v>790</v>
      </c>
    </row>
    <row r="148" spans="1:1" x14ac:dyDescent="0.2">
      <c r="A148" s="333" t="s">
        <v>525</v>
      </c>
    </row>
    <row r="149" spans="1:1" x14ac:dyDescent="0.2">
      <c r="A149" s="333" t="s">
        <v>526</v>
      </c>
    </row>
    <row r="150" spans="1:1" ht="31.5" x14ac:dyDescent="0.2">
      <c r="A150" s="332" t="s">
        <v>527</v>
      </c>
    </row>
    <row r="151" spans="1:1" x14ac:dyDescent="0.2">
      <c r="A151" s="333" t="s">
        <v>620</v>
      </c>
    </row>
    <row r="152" spans="1:1" x14ac:dyDescent="0.2">
      <c r="A152" s="333" t="s">
        <v>621</v>
      </c>
    </row>
    <row r="153" spans="1:1" x14ac:dyDescent="0.2">
      <c r="A153" s="333" t="s">
        <v>622</v>
      </c>
    </row>
    <row r="154" spans="1:1" x14ac:dyDescent="0.2">
      <c r="A154" s="333" t="s">
        <v>623</v>
      </c>
    </row>
    <row r="155" spans="1:1" x14ac:dyDescent="0.2">
      <c r="A155" s="333" t="s">
        <v>624</v>
      </c>
    </row>
    <row r="156" spans="1:1" x14ac:dyDescent="0.2">
      <c r="A156" s="333" t="s">
        <v>625</v>
      </c>
    </row>
    <row r="157" spans="1:1" x14ac:dyDescent="0.2">
      <c r="A157" s="333" t="s">
        <v>626</v>
      </c>
    </row>
    <row r="158" spans="1:1" x14ac:dyDescent="0.2">
      <c r="A158" s="333" t="s">
        <v>627</v>
      </c>
    </row>
    <row r="159" spans="1:1" x14ac:dyDescent="0.2">
      <c r="A159" s="333" t="s">
        <v>628</v>
      </c>
    </row>
    <row r="160" spans="1:1" x14ac:dyDescent="0.2">
      <c r="A160" s="333" t="s">
        <v>629</v>
      </c>
    </row>
    <row r="161" spans="1:1" x14ac:dyDescent="0.2">
      <c r="A161" s="333" t="s">
        <v>630</v>
      </c>
    </row>
    <row r="162" spans="1:1" x14ac:dyDescent="0.2">
      <c r="A162" s="333" t="s">
        <v>631</v>
      </c>
    </row>
    <row r="163" spans="1:1" x14ac:dyDescent="0.2">
      <c r="A163" s="333" t="s">
        <v>632</v>
      </c>
    </row>
    <row r="164" spans="1:1" x14ac:dyDescent="0.2">
      <c r="A164" s="333" t="s">
        <v>633</v>
      </c>
    </row>
    <row r="165" spans="1:1" x14ac:dyDescent="0.2">
      <c r="A165" s="333" t="s">
        <v>634</v>
      </c>
    </row>
    <row r="166" spans="1:1" x14ac:dyDescent="0.2">
      <c r="A166" s="333" t="s">
        <v>635</v>
      </c>
    </row>
    <row r="167" spans="1:1" x14ac:dyDescent="0.2">
      <c r="A167" s="333" t="s">
        <v>636</v>
      </c>
    </row>
    <row r="168" spans="1:1" x14ac:dyDescent="0.2">
      <c r="A168" s="333" t="s">
        <v>637</v>
      </c>
    </row>
    <row r="169" spans="1:1" x14ac:dyDescent="0.2">
      <c r="A169" s="333" t="s">
        <v>638</v>
      </c>
    </row>
    <row r="170" spans="1:1" x14ac:dyDescent="0.2">
      <c r="A170" s="333" t="s">
        <v>639</v>
      </c>
    </row>
    <row r="171" spans="1:1" x14ac:dyDescent="0.2">
      <c r="A171" s="333" t="s">
        <v>640</v>
      </c>
    </row>
    <row r="172" spans="1:1" x14ac:dyDescent="0.2">
      <c r="A172" s="333" t="s">
        <v>641</v>
      </c>
    </row>
    <row r="173" spans="1:1" x14ac:dyDescent="0.2">
      <c r="A173" s="333" t="s">
        <v>642</v>
      </c>
    </row>
    <row r="174" spans="1:1" x14ac:dyDescent="0.2">
      <c r="A174" s="333" t="s">
        <v>643</v>
      </c>
    </row>
    <row r="175" spans="1:1" x14ac:dyDescent="0.2">
      <c r="A175" s="333" t="s">
        <v>644</v>
      </c>
    </row>
    <row r="177" spans="1:1" x14ac:dyDescent="0.2">
      <c r="A177" s="276" t="s">
        <v>791</v>
      </c>
    </row>
    <row r="178" spans="1:1" x14ac:dyDescent="0.2">
      <c r="A178" s="2" t="s">
        <v>510</v>
      </c>
    </row>
    <row r="179" spans="1:1" x14ac:dyDescent="0.2">
      <c r="A179" s="2" t="s">
        <v>511</v>
      </c>
    </row>
    <row r="180" spans="1:1" x14ac:dyDescent="0.2">
      <c r="A180" s="2" t="s">
        <v>512</v>
      </c>
    </row>
    <row r="182" spans="1:1" x14ac:dyDescent="0.2">
      <c r="A182" s="276" t="s">
        <v>792</v>
      </c>
    </row>
    <row r="183" spans="1:1" x14ac:dyDescent="0.2">
      <c r="A183" s="2" t="s">
        <v>509</v>
      </c>
    </row>
    <row r="184" spans="1:1" ht="15.75" customHeight="1" x14ac:dyDescent="0.2"/>
    <row r="185" spans="1:1" x14ac:dyDescent="0.2">
      <c r="A185" s="276" t="s">
        <v>793</v>
      </c>
    </row>
    <row r="186" spans="1:1" x14ac:dyDescent="0.2">
      <c r="A186" s="275" t="s">
        <v>500</v>
      </c>
    </row>
    <row r="187" spans="1:1" x14ac:dyDescent="0.2">
      <c r="A187" s="275" t="s">
        <v>501</v>
      </c>
    </row>
    <row r="188" spans="1:1" x14ac:dyDescent="0.2">
      <c r="A188" s="275" t="s">
        <v>502</v>
      </c>
    </row>
    <row r="190" spans="1:1" x14ac:dyDescent="0.2">
      <c r="A190" s="259" t="s">
        <v>794</v>
      </c>
    </row>
    <row r="191" spans="1:1" x14ac:dyDescent="0.2">
      <c r="A191" s="266" t="s">
        <v>281</v>
      </c>
    </row>
    <row r="192" spans="1:1" x14ac:dyDescent="0.2">
      <c r="A192" s="265" t="s">
        <v>282</v>
      </c>
    </row>
    <row r="193" spans="1:1" x14ac:dyDescent="0.2">
      <c r="A193" s="265" t="s">
        <v>283</v>
      </c>
    </row>
    <row r="194" spans="1:1" ht="31.5" x14ac:dyDescent="0.2">
      <c r="A194" s="596" t="s">
        <v>284</v>
      </c>
    </row>
    <row r="195" spans="1:1" x14ac:dyDescent="0.2">
      <c r="A195" s="265" t="s">
        <v>285</v>
      </c>
    </row>
    <row r="196" spans="1:1" x14ac:dyDescent="0.2">
      <c r="A196" s="265" t="s">
        <v>286</v>
      </c>
    </row>
    <row r="197" spans="1:1" x14ac:dyDescent="0.2">
      <c r="A197" s="265" t="s">
        <v>287</v>
      </c>
    </row>
    <row r="198" spans="1:1" x14ac:dyDescent="0.2">
      <c r="A198" s="265" t="s">
        <v>288</v>
      </c>
    </row>
    <row r="199" spans="1:1" x14ac:dyDescent="0.2">
      <c r="A199" s="2" t="s">
        <v>289</v>
      </c>
    </row>
    <row r="201" spans="1:1" x14ac:dyDescent="0.2">
      <c r="A201" s="259" t="s">
        <v>795</v>
      </c>
    </row>
    <row r="202" spans="1:1" x14ac:dyDescent="0.2">
      <c r="A202" s="2" t="s">
        <v>254</v>
      </c>
    </row>
    <row r="203" spans="1:1" x14ac:dyDescent="0.2">
      <c r="A203" s="2" t="s">
        <v>255</v>
      </c>
    </row>
    <row r="204" spans="1:1" x14ac:dyDescent="0.2">
      <c r="A204" s="2" t="s">
        <v>256</v>
      </c>
    </row>
    <row r="205" spans="1:1" x14ac:dyDescent="0.2">
      <c r="A205" s="2" t="s">
        <v>257</v>
      </c>
    </row>
    <row r="207" spans="1:1" x14ac:dyDescent="0.2">
      <c r="A207" s="259" t="s">
        <v>251</v>
      </c>
    </row>
    <row r="208" spans="1:1" x14ac:dyDescent="0.2">
      <c r="A208" s="2" t="s">
        <v>252</v>
      </c>
    </row>
    <row r="209" spans="1:1" x14ac:dyDescent="0.2">
      <c r="A209" s="2" t="s">
        <v>253</v>
      </c>
    </row>
    <row r="211" spans="1:1" x14ac:dyDescent="0.2">
      <c r="A211" s="259" t="s">
        <v>234</v>
      </c>
    </row>
    <row r="212" spans="1:1" x14ac:dyDescent="0.2">
      <c r="A212" s="2" t="s">
        <v>222</v>
      </c>
    </row>
    <row r="213" spans="1:1" x14ac:dyDescent="0.2">
      <c r="A213" s="2" t="s">
        <v>223</v>
      </c>
    </row>
    <row r="214" spans="1:1" x14ac:dyDescent="0.2">
      <c r="A214" s="2" t="s">
        <v>224</v>
      </c>
    </row>
    <row r="215" spans="1:1" x14ac:dyDescent="0.2">
      <c r="A215" s="2" t="s">
        <v>219</v>
      </c>
    </row>
    <row r="216" spans="1:1" x14ac:dyDescent="0.2">
      <c r="A216" s="2" t="s">
        <v>225</v>
      </c>
    </row>
    <row r="217" spans="1:1" ht="35.25" customHeight="1" x14ac:dyDescent="0.2">
      <c r="A217" s="2" t="s">
        <v>226</v>
      </c>
    </row>
    <row r="218" spans="1:1" ht="20.25" customHeight="1" x14ac:dyDescent="0.2">
      <c r="A218" s="4" t="s">
        <v>227</v>
      </c>
    </row>
    <row r="219" spans="1:1" ht="31.5" x14ac:dyDescent="0.2">
      <c r="A219" s="4" t="s">
        <v>228</v>
      </c>
    </row>
    <row r="220" spans="1:1" x14ac:dyDescent="0.2">
      <c r="A220" s="4" t="s">
        <v>235</v>
      </c>
    </row>
    <row r="221" spans="1:1" x14ac:dyDescent="0.2">
      <c r="A221" s="4" t="s">
        <v>229</v>
      </c>
    </row>
    <row r="222" spans="1:1" ht="31.5" x14ac:dyDescent="0.2">
      <c r="A222" s="4" t="s">
        <v>230</v>
      </c>
    </row>
    <row r="223" spans="1:1" x14ac:dyDescent="0.2">
      <c r="A223" s="2" t="s">
        <v>231</v>
      </c>
    </row>
    <row r="224" spans="1:1" ht="31.5" x14ac:dyDescent="0.2">
      <c r="A224" s="4" t="s">
        <v>236</v>
      </c>
    </row>
    <row r="225" spans="1:1" x14ac:dyDescent="0.2">
      <c r="A225" s="2" t="s">
        <v>133</v>
      </c>
    </row>
    <row r="226" spans="1:1" x14ac:dyDescent="0.2">
      <c r="A226" s="2" t="s">
        <v>232</v>
      </c>
    </row>
    <row r="227" spans="1:1" x14ac:dyDescent="0.2">
      <c r="A227" s="2" t="s">
        <v>233</v>
      </c>
    </row>
    <row r="228" spans="1:1" ht="31.5" x14ac:dyDescent="0.2">
      <c r="A228" s="4" t="s">
        <v>132</v>
      </c>
    </row>
    <row r="229" spans="1:1" x14ac:dyDescent="0.2">
      <c r="A229" s="2" t="s">
        <v>134</v>
      </c>
    </row>
    <row r="230" spans="1:1" ht="31.5" x14ac:dyDescent="0.2">
      <c r="A230" s="4" t="s">
        <v>130</v>
      </c>
    </row>
    <row r="231" spans="1:1" x14ac:dyDescent="0.2">
      <c r="A231" s="2" t="s">
        <v>131</v>
      </c>
    </row>
    <row r="233" spans="1:1" x14ac:dyDescent="0.2">
      <c r="A233" s="259" t="s">
        <v>237</v>
      </c>
    </row>
    <row r="234" spans="1:1" x14ac:dyDescent="0.2">
      <c r="A234" s="2" t="s">
        <v>238</v>
      </c>
    </row>
    <row r="235" spans="1:1" x14ac:dyDescent="0.2">
      <c r="A235" s="2" t="s">
        <v>239</v>
      </c>
    </row>
    <row r="236" spans="1:1" x14ac:dyDescent="0.2">
      <c r="A236" s="2" t="s">
        <v>240</v>
      </c>
    </row>
    <row r="237" spans="1:1" ht="18" customHeight="1" x14ac:dyDescent="0.2">
      <c r="A237" s="2" t="s">
        <v>241</v>
      </c>
    </row>
    <row r="238" spans="1:1" ht="48.75" customHeight="1" x14ac:dyDescent="0.2"/>
    <row r="239" spans="1:1" x14ac:dyDescent="0.2">
      <c r="A239" s="259" t="s">
        <v>216</v>
      </c>
    </row>
    <row r="240" spans="1:1" x14ac:dyDescent="0.2">
      <c r="A240" s="2" t="s">
        <v>217</v>
      </c>
    </row>
    <row r="242" spans="1:1" x14ac:dyDescent="0.2">
      <c r="A242" s="259" t="s">
        <v>211</v>
      </c>
    </row>
    <row r="243" spans="1:1" ht="31.5" x14ac:dyDescent="0.2">
      <c r="A243" s="4" t="s">
        <v>212</v>
      </c>
    </row>
    <row r="244" spans="1:1" x14ac:dyDescent="0.2">
      <c r="A244" s="2" t="s">
        <v>213</v>
      </c>
    </row>
    <row r="245" spans="1:1" x14ac:dyDescent="0.2">
      <c r="A245" s="2" t="s">
        <v>215</v>
      </c>
    </row>
    <row r="246" spans="1:1" x14ac:dyDescent="0.2">
      <c r="A246" s="2" t="s">
        <v>214</v>
      </c>
    </row>
    <row r="248" spans="1:1" x14ac:dyDescent="0.2">
      <c r="A248" s="2" t="s">
        <v>159</v>
      </c>
    </row>
    <row r="249" spans="1:1" ht="47.25" x14ac:dyDescent="0.2">
      <c r="A249" s="4" t="s">
        <v>179</v>
      </c>
    </row>
    <row r="250" spans="1:1" x14ac:dyDescent="0.2">
      <c r="A250" s="2" t="s">
        <v>160</v>
      </c>
    </row>
    <row r="251" spans="1:1" x14ac:dyDescent="0.2">
      <c r="A251" s="2" t="s">
        <v>161</v>
      </c>
    </row>
    <row r="252" spans="1:1" x14ac:dyDescent="0.2">
      <c r="A252" s="2" t="s">
        <v>180</v>
      </c>
    </row>
    <row r="253" spans="1:1" x14ac:dyDescent="0.2">
      <c r="A253" s="2" t="s">
        <v>162</v>
      </c>
    </row>
    <row r="254" spans="1:1" x14ac:dyDescent="0.2">
      <c r="A254" s="2" t="s">
        <v>163</v>
      </c>
    </row>
    <row r="255" spans="1:1" x14ac:dyDescent="0.2">
      <c r="A255" s="2" t="s">
        <v>186</v>
      </c>
    </row>
    <row r="256" spans="1:1" x14ac:dyDescent="0.2">
      <c r="A256" s="2" t="s">
        <v>164</v>
      </c>
    </row>
    <row r="257" spans="1:1" x14ac:dyDescent="0.2">
      <c r="A257" s="2" t="s">
        <v>165</v>
      </c>
    </row>
    <row r="258" spans="1:1" ht="31.5" x14ac:dyDescent="0.2">
      <c r="A258" s="4" t="s">
        <v>166</v>
      </c>
    </row>
    <row r="259" spans="1:1" ht="31.5" x14ac:dyDescent="0.2">
      <c r="A259" s="4" t="s">
        <v>243</v>
      </c>
    </row>
    <row r="260" spans="1:1" x14ac:dyDescent="0.2">
      <c r="A260" s="2" t="s">
        <v>167</v>
      </c>
    </row>
    <row r="261" spans="1:1" x14ac:dyDescent="0.2">
      <c r="A261" s="2" t="s">
        <v>168</v>
      </c>
    </row>
    <row r="262" spans="1:1" x14ac:dyDescent="0.2">
      <c r="A262" s="2" t="s">
        <v>181</v>
      </c>
    </row>
    <row r="263" spans="1:1" x14ac:dyDescent="0.2">
      <c r="A263" s="2" t="s">
        <v>169</v>
      </c>
    </row>
    <row r="264" spans="1:1" x14ac:dyDescent="0.2">
      <c r="A264" s="2" t="s">
        <v>182</v>
      </c>
    </row>
    <row r="265" spans="1:1" ht="31.5" x14ac:dyDescent="0.2">
      <c r="A265" s="4" t="s">
        <v>183</v>
      </c>
    </row>
    <row r="266" spans="1:1" x14ac:dyDescent="0.2">
      <c r="A266" s="2" t="s">
        <v>172</v>
      </c>
    </row>
    <row r="267" spans="1:1" x14ac:dyDescent="0.2">
      <c r="A267" s="2" t="s">
        <v>173</v>
      </c>
    </row>
    <row r="268" spans="1:1" ht="31.5" x14ac:dyDescent="0.2">
      <c r="A268" s="4" t="s">
        <v>174</v>
      </c>
    </row>
    <row r="269" spans="1:1" x14ac:dyDescent="0.2">
      <c r="A269" s="2" t="s">
        <v>197</v>
      </c>
    </row>
    <row r="270" spans="1:1" x14ac:dyDescent="0.2">
      <c r="A270" s="2" t="s">
        <v>196</v>
      </c>
    </row>
    <row r="271" spans="1:1" x14ac:dyDescent="0.2">
      <c r="A271" s="2" t="s">
        <v>198</v>
      </c>
    </row>
    <row r="272" spans="1:1" x14ac:dyDescent="0.2">
      <c r="A272" s="2" t="s">
        <v>199</v>
      </c>
    </row>
    <row r="273" spans="1:1" x14ac:dyDescent="0.2">
      <c r="A273" s="2" t="s">
        <v>200</v>
      </c>
    </row>
    <row r="274" spans="1:1" x14ac:dyDescent="0.2">
      <c r="A274" s="2" t="s">
        <v>201</v>
      </c>
    </row>
    <row r="275" spans="1:1" x14ac:dyDescent="0.2">
      <c r="A275" s="2" t="s">
        <v>202</v>
      </c>
    </row>
    <row r="276" spans="1:1" x14ac:dyDescent="0.2">
      <c r="A276" s="2" t="s">
        <v>203</v>
      </c>
    </row>
    <row r="277" spans="1:1" x14ac:dyDescent="0.2">
      <c r="A277" s="2" t="s">
        <v>204</v>
      </c>
    </row>
    <row r="278" spans="1:1" x14ac:dyDescent="0.2">
      <c r="A278" s="2" t="s">
        <v>205</v>
      </c>
    </row>
    <row r="279" spans="1:1" x14ac:dyDescent="0.2">
      <c r="A279" s="2" t="s">
        <v>206</v>
      </c>
    </row>
    <row r="280" spans="1:1" x14ac:dyDescent="0.2">
      <c r="A280" s="2" t="s">
        <v>207</v>
      </c>
    </row>
    <row r="281" spans="1:1" x14ac:dyDescent="0.2">
      <c r="A281" s="2" t="s">
        <v>208</v>
      </c>
    </row>
    <row r="282" spans="1:1" x14ac:dyDescent="0.2">
      <c r="A282" s="2" t="s">
        <v>210</v>
      </c>
    </row>
    <row r="283" spans="1:1" x14ac:dyDescent="0.2">
      <c r="A283" s="2" t="s">
        <v>209</v>
      </c>
    </row>
  </sheetData>
  <sheetProtection sheet="1" objects="1" scenarios="1"/>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A50"/>
  <sheetViews>
    <sheetView workbookViewId="0">
      <selection sqref="A1:A44"/>
    </sheetView>
  </sheetViews>
  <sheetFormatPr defaultRowHeight="15" x14ac:dyDescent="0.2"/>
  <cols>
    <col min="1" max="1" width="78.21875" customWidth="1"/>
  </cols>
  <sheetData>
    <row r="1" spans="1:1" x14ac:dyDescent="0.2">
      <c r="A1" s="840" t="s">
        <v>851</v>
      </c>
    </row>
    <row r="2" spans="1:1" x14ac:dyDescent="0.2">
      <c r="A2" s="840"/>
    </row>
    <row r="3" spans="1:1" x14ac:dyDescent="0.2">
      <c r="A3" s="840"/>
    </row>
    <row r="4" spans="1:1" x14ac:dyDescent="0.2">
      <c r="A4" s="840"/>
    </row>
    <row r="5" spans="1:1" x14ac:dyDescent="0.2">
      <c r="A5" s="840"/>
    </row>
    <row r="6" spans="1:1" x14ac:dyDescent="0.2">
      <c r="A6" s="840"/>
    </row>
    <row r="7" spans="1:1" x14ac:dyDescent="0.2">
      <c r="A7" s="840"/>
    </row>
    <row r="8" spans="1:1" x14ac:dyDescent="0.2">
      <c r="A8" s="840"/>
    </row>
    <row r="9" spans="1:1" x14ac:dyDescent="0.2">
      <c r="A9" s="840"/>
    </row>
    <row r="10" spans="1:1" x14ac:dyDescent="0.2">
      <c r="A10" s="840"/>
    </row>
    <row r="11" spans="1:1" x14ac:dyDescent="0.2">
      <c r="A11" s="840"/>
    </row>
    <row r="12" spans="1:1" x14ac:dyDescent="0.2">
      <c r="A12" s="840"/>
    </row>
    <row r="13" spans="1:1" x14ac:dyDescent="0.2">
      <c r="A13" s="840"/>
    </row>
    <row r="14" spans="1:1" x14ac:dyDescent="0.2">
      <c r="A14" s="840"/>
    </row>
    <row r="15" spans="1:1" x14ac:dyDescent="0.2">
      <c r="A15" s="840"/>
    </row>
    <row r="16" spans="1:1" x14ac:dyDescent="0.2">
      <c r="A16" s="840"/>
    </row>
    <row r="17" spans="1:1" x14ac:dyDescent="0.2">
      <c r="A17" s="840"/>
    </row>
    <row r="18" spans="1:1" x14ac:dyDescent="0.2">
      <c r="A18" s="840"/>
    </row>
    <row r="19" spans="1:1" x14ac:dyDescent="0.2">
      <c r="A19" s="840"/>
    </row>
    <row r="20" spans="1:1" x14ac:dyDescent="0.2">
      <c r="A20" s="840"/>
    </row>
    <row r="21" spans="1:1" x14ac:dyDescent="0.2">
      <c r="A21" s="840"/>
    </row>
    <row r="22" spans="1:1" x14ac:dyDescent="0.2">
      <c r="A22" s="840"/>
    </row>
    <row r="23" spans="1:1" x14ac:dyDescent="0.2">
      <c r="A23" s="840"/>
    </row>
    <row r="24" spans="1:1" x14ac:dyDescent="0.2">
      <c r="A24" s="840"/>
    </row>
    <row r="25" spans="1:1" x14ac:dyDescent="0.2">
      <c r="A25" s="840"/>
    </row>
    <row r="26" spans="1:1" x14ac:dyDescent="0.2">
      <c r="A26" s="840"/>
    </row>
    <row r="27" spans="1:1" x14ac:dyDescent="0.2">
      <c r="A27" s="840"/>
    </row>
    <row r="28" spans="1:1" x14ac:dyDescent="0.2">
      <c r="A28" s="840"/>
    </row>
    <row r="29" spans="1:1" x14ac:dyDescent="0.2">
      <c r="A29" s="840"/>
    </row>
    <row r="30" spans="1:1" x14ac:dyDescent="0.2">
      <c r="A30" s="840"/>
    </row>
    <row r="31" spans="1:1" x14ac:dyDescent="0.2">
      <c r="A31" s="840"/>
    </row>
    <row r="32" spans="1:1" x14ac:dyDescent="0.2">
      <c r="A32" s="840"/>
    </row>
    <row r="33" spans="1:1" x14ac:dyDescent="0.2">
      <c r="A33" s="840"/>
    </row>
    <row r="34" spans="1:1" x14ac:dyDescent="0.2">
      <c r="A34" s="840"/>
    </row>
    <row r="35" spans="1:1" x14ac:dyDescent="0.2">
      <c r="A35" s="840"/>
    </row>
    <row r="36" spans="1:1" x14ac:dyDescent="0.2">
      <c r="A36" s="840"/>
    </row>
    <row r="37" spans="1:1" x14ac:dyDescent="0.2">
      <c r="A37" s="840"/>
    </row>
    <row r="38" spans="1:1" x14ac:dyDescent="0.2">
      <c r="A38" s="840"/>
    </row>
    <row r="39" spans="1:1" x14ac:dyDescent="0.2">
      <c r="A39" s="840"/>
    </row>
    <row r="40" spans="1:1" x14ac:dyDescent="0.2">
      <c r="A40" s="840"/>
    </row>
    <row r="41" spans="1:1" x14ac:dyDescent="0.2">
      <c r="A41" s="840"/>
    </row>
    <row r="42" spans="1:1" x14ac:dyDescent="0.2">
      <c r="A42" s="840"/>
    </row>
    <row r="43" spans="1:1" x14ac:dyDescent="0.2">
      <c r="A43" s="840"/>
    </row>
    <row r="44" spans="1:1" x14ac:dyDescent="0.2">
      <c r="A44" s="840"/>
    </row>
    <row r="45" spans="1:1" x14ac:dyDescent="0.2">
      <c r="A45" s="725"/>
    </row>
    <row r="46" spans="1:1" x14ac:dyDescent="0.2">
      <c r="A46" s="725"/>
    </row>
    <row r="47" spans="1:1" x14ac:dyDescent="0.2">
      <c r="A47" s="725"/>
    </row>
    <row r="48" spans="1:1" x14ac:dyDescent="0.2">
      <c r="A48" s="725"/>
    </row>
    <row r="49" spans="1:1" x14ac:dyDescent="0.2">
      <c r="A49" s="725"/>
    </row>
    <row r="50" spans="1:1" x14ac:dyDescent="0.2">
      <c r="A50" s="725"/>
    </row>
  </sheetData>
  <sheetProtection sheet="1" objects="1" scenarios="1"/>
  <mergeCells count="1">
    <mergeCell ref="A1:A44"/>
  </mergeCells>
  <pageMargins left="0.7" right="0.7" top="0.75" bottom="0.75" header="0.3" footer="0.3"/>
  <pageSetup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pageSetUpPr fitToPage="1"/>
  </sheetPr>
  <dimension ref="B1:H95"/>
  <sheetViews>
    <sheetView topLeftCell="B16" zoomScale="90" zoomScaleNormal="90" workbookViewId="0">
      <selection activeCell="H2" sqref="H2"/>
    </sheetView>
  </sheetViews>
  <sheetFormatPr defaultRowHeight="15.75" x14ac:dyDescent="0.2"/>
  <cols>
    <col min="1" max="1" width="0" style="54" hidden="1" customWidth="1"/>
    <col min="2" max="2" width="24.44140625" style="7" customWidth="1"/>
    <col min="3" max="3" width="11.33203125" style="7" customWidth="1"/>
    <col min="4" max="4" width="5.77734375" style="7" customWidth="1"/>
    <col min="5" max="7" width="13.88671875" style="7" customWidth="1"/>
    <col min="8" max="16384" width="8.88671875" style="54"/>
  </cols>
  <sheetData>
    <row r="1" spans="2:7" x14ac:dyDescent="0.2">
      <c r="B1" s="6"/>
      <c r="C1" s="6"/>
      <c r="D1" s="6"/>
      <c r="E1" s="6"/>
      <c r="F1" s="6"/>
      <c r="G1" s="6">
        <f>inputPrYr!C6</f>
        <v>2023</v>
      </c>
    </row>
    <row r="2" spans="2:7" x14ac:dyDescent="0.2">
      <c r="B2" s="6"/>
      <c r="C2" s="6"/>
      <c r="D2" s="8" t="s">
        <v>79</v>
      </c>
      <c r="E2" s="6"/>
      <c r="F2" s="6"/>
      <c r="G2" s="83"/>
    </row>
    <row r="3" spans="2:7" x14ac:dyDescent="0.2">
      <c r="B3" s="842" t="str">
        <f>CONCATENATE("To the Clerk of ",inputPrYr!D4,", State of Kansas")</f>
        <v>To the Clerk of Jefferson, State of Kansas</v>
      </c>
      <c r="C3" s="825"/>
      <c r="D3" s="825"/>
      <c r="E3" s="825"/>
      <c r="F3" s="825"/>
      <c r="G3" s="825"/>
    </row>
    <row r="4" spans="2:7" x14ac:dyDescent="0.2">
      <c r="B4" s="14" t="s">
        <v>513</v>
      </c>
      <c r="C4" s="13"/>
      <c r="D4" s="13"/>
      <c r="E4" s="13"/>
      <c r="F4" s="13"/>
      <c r="G4" s="13"/>
    </row>
    <row r="5" spans="2:7" x14ac:dyDescent="0.2">
      <c r="B5" s="811" t="str">
        <f>(inputPrYr!D3)</f>
        <v>Valley Falls</v>
      </c>
      <c r="C5" s="841"/>
      <c r="D5" s="841"/>
      <c r="E5" s="841"/>
      <c r="F5" s="841"/>
      <c r="G5" s="841"/>
    </row>
    <row r="6" spans="2:7" x14ac:dyDescent="0.2">
      <c r="B6" s="14" t="s">
        <v>250</v>
      </c>
      <c r="C6" s="13"/>
      <c r="D6" s="13"/>
      <c r="E6" s="13"/>
      <c r="F6" s="13"/>
      <c r="G6" s="13"/>
    </row>
    <row r="7" spans="2:7" x14ac:dyDescent="0.2">
      <c r="B7" s="14" t="s">
        <v>0</v>
      </c>
      <c r="C7" s="13"/>
      <c r="D7" s="13"/>
      <c r="E7" s="13"/>
      <c r="F7" s="13"/>
      <c r="G7" s="13"/>
    </row>
    <row r="8" spans="2:7" x14ac:dyDescent="0.2">
      <c r="B8" s="14" t="str">
        <f>CONCATENATE("maximum expenditures for the various funds for the year ",G1,"; and")</f>
        <v>maximum expenditures for the various funds for the year 2023; and</v>
      </c>
      <c r="C8" s="13"/>
      <c r="D8" s="13"/>
      <c r="E8" s="13"/>
      <c r="F8" s="13"/>
      <c r="G8" s="13"/>
    </row>
    <row r="9" spans="2:7" x14ac:dyDescent="0.2">
      <c r="B9" s="14" t="str">
        <f>CONCATENATE("(3) the Amount(s) of ",G1-1," Ad Valorem Tax are within statutory limitations.")</f>
        <v>(3) the Amount(s) of 2022 Ad Valorem Tax are within statutory limitations.</v>
      </c>
      <c r="C9" s="13"/>
      <c r="D9" s="13"/>
      <c r="E9" s="13"/>
      <c r="F9" s="13"/>
      <c r="G9" s="13"/>
    </row>
    <row r="10" spans="2:7" x14ac:dyDescent="0.2">
      <c r="B10" s="6"/>
      <c r="C10" s="6"/>
      <c r="D10" s="6"/>
      <c r="E10" s="84" t="str">
        <f>CONCATENATE("",G1," Adopted Budget")</f>
        <v>2023 Adopted Budget</v>
      </c>
      <c r="F10" s="85"/>
      <c r="G10" s="86"/>
    </row>
    <row r="11" spans="2:7" ht="21" customHeight="1" x14ac:dyDescent="0.2">
      <c r="B11" s="6"/>
      <c r="C11" s="6"/>
      <c r="D11" s="87"/>
      <c r="E11" s="88" t="s">
        <v>1</v>
      </c>
      <c r="F11" s="89" t="s">
        <v>126</v>
      </c>
      <c r="G11" s="851" t="s">
        <v>1039</v>
      </c>
    </row>
    <row r="12" spans="2:7" x14ac:dyDescent="0.2">
      <c r="B12" s="9"/>
      <c r="C12" s="6"/>
      <c r="D12" s="89" t="s">
        <v>2</v>
      </c>
      <c r="E12" s="90" t="s">
        <v>189</v>
      </c>
      <c r="F12" s="91" t="str">
        <f>CONCATENATE("",G1-1," Ad")</f>
        <v>2022 Ad</v>
      </c>
      <c r="G12" s="852"/>
    </row>
    <row r="13" spans="2:7" x14ac:dyDescent="0.2">
      <c r="B13" s="92" t="s">
        <v>3</v>
      </c>
      <c r="C13" s="31"/>
      <c r="D13" s="93" t="s">
        <v>4</v>
      </c>
      <c r="E13" s="93" t="s">
        <v>521</v>
      </c>
      <c r="F13" s="94" t="s">
        <v>127</v>
      </c>
      <c r="G13" s="853"/>
    </row>
    <row r="14" spans="2:7" x14ac:dyDescent="0.2">
      <c r="B14" s="95" t="s">
        <v>664</v>
      </c>
      <c r="C14" s="31"/>
      <c r="D14" s="93">
        <v>2</v>
      </c>
      <c r="E14" s="90"/>
      <c r="F14" s="90"/>
      <c r="G14" s="90"/>
    </row>
    <row r="15" spans="2:7" x14ac:dyDescent="0.2">
      <c r="B15" s="95" t="s">
        <v>103</v>
      </c>
      <c r="C15" s="31"/>
      <c r="D15" s="93">
        <v>3</v>
      </c>
      <c r="E15" s="90"/>
      <c r="F15" s="90"/>
      <c r="G15" s="90"/>
    </row>
    <row r="16" spans="2:7" x14ac:dyDescent="0.2">
      <c r="B16" s="95" t="s">
        <v>5</v>
      </c>
      <c r="C16" s="48"/>
      <c r="D16" s="96">
        <v>4</v>
      </c>
      <c r="E16" s="98"/>
      <c r="F16" s="98"/>
      <c r="G16" s="98"/>
    </row>
    <row r="17" spans="2:7" x14ac:dyDescent="0.2">
      <c r="B17" s="95" t="s">
        <v>6</v>
      </c>
      <c r="C17" s="48"/>
      <c r="D17" s="96">
        <v>5</v>
      </c>
      <c r="E17" s="98"/>
      <c r="F17" s="98"/>
      <c r="G17" s="98"/>
    </row>
    <row r="18" spans="2:7" x14ac:dyDescent="0.2">
      <c r="B18" s="106" t="str">
        <f>IF(inputPrYr!D21="","","Computation to Determine State Library Grant")</f>
        <v/>
      </c>
      <c r="C18" s="48"/>
      <c r="D18" s="104" t="str">
        <f>IF(inputPrYr!D21="","",'Library Grant '!F40)</f>
        <v/>
      </c>
      <c r="E18" s="98"/>
      <c r="F18" s="98"/>
      <c r="G18" s="98"/>
    </row>
    <row r="19" spans="2:7" x14ac:dyDescent="0.2">
      <c r="B19" s="99" t="s">
        <v>7</v>
      </c>
      <c r="C19" s="100" t="s">
        <v>8</v>
      </c>
      <c r="D19" s="101"/>
      <c r="E19" s="42"/>
      <c r="F19" s="42"/>
      <c r="G19" s="42"/>
    </row>
    <row r="20" spans="2:7" x14ac:dyDescent="0.2">
      <c r="B20" s="23" t="str">
        <f>inputPrYr!B19</f>
        <v>General</v>
      </c>
      <c r="C20" s="102" t="str">
        <f>IF(inputPrYr!C19&gt;0,(inputPrYr!C19),"  ")</f>
        <v>12-101a</v>
      </c>
      <c r="D20" s="96">
        <f>IF(General!D62&gt;0,General!D62,"")</f>
        <v>6</v>
      </c>
      <c r="E20" s="428">
        <f>IF(General!$E$107&lt;&gt;0,General!$E$107,"  ")</f>
        <v>729701</v>
      </c>
      <c r="F20" s="468">
        <f>IF(General!$E$114&lt;&gt;0,General!$E$114,0)</f>
        <v>217110</v>
      </c>
      <c r="G20" s="467" t="str">
        <f t="shared" ref="G20:G32" si="0">IF($G$49=0,"",ROUND(F20/$G$49*1000,3))</f>
        <v/>
      </c>
    </row>
    <row r="21" spans="2:7" x14ac:dyDescent="0.2">
      <c r="B21" s="41" t="str">
        <f>IF(inputPrYr!$B20&gt;"  ",(inputPrYr!$B20),"  ")</f>
        <v>Debt Service</v>
      </c>
      <c r="C21" s="102" t="str">
        <f>IF(inputPrYr!C20&gt;0,(inputPrYr!C20),"  ")</f>
        <v>10-113</v>
      </c>
      <c r="D21" s="96">
        <f>IF('DebtSvs-Library'!C87=0,"",'DebtSvs-Library'!C87)</f>
        <v>7</v>
      </c>
      <c r="E21" s="428" t="str">
        <f>IF('DebtSvs-Library'!E35&lt;&gt;0,'DebtSvs-Library'!E35,"  ")</f>
        <v xml:space="preserve">  </v>
      </c>
      <c r="F21" s="468">
        <f>IF('DebtSvs-Library'!E42&lt;&gt;0,'DebtSvs-Library'!E42,0)</f>
        <v>0</v>
      </c>
      <c r="G21" s="467" t="str">
        <f t="shared" si="0"/>
        <v/>
      </c>
    </row>
    <row r="22" spans="2:7" x14ac:dyDescent="0.2">
      <c r="B22" s="41" t="str">
        <f>IF(inputPrYr!$B21&gt;"  ",(inputPrYr!$B21),"  ")</f>
        <v>Library</v>
      </c>
      <c r="C22" s="102" t="str">
        <f>IF(inputPrYr!C21&gt;0,(inputPrYr!C21),"  ")</f>
        <v>12-1220</v>
      </c>
      <c r="D22" s="96">
        <f>IF('DebtSvs-Library'!C87=0,"",'DebtSvs-Library'!C87)</f>
        <v>7</v>
      </c>
      <c r="E22" s="428" t="str">
        <f>IF('DebtSvs-Library'!E74&lt;&gt;0,'DebtSvs-Library'!E74,"  ")</f>
        <v xml:space="preserve">  </v>
      </c>
      <c r="F22" s="468">
        <f>IF('DebtSvs-Library'!E81&lt;&gt;0,'DebtSvs-Library'!E81,0)</f>
        <v>0</v>
      </c>
      <c r="G22" s="467" t="str">
        <f t="shared" si="0"/>
        <v/>
      </c>
    </row>
    <row r="23" spans="2:7" x14ac:dyDescent="0.2">
      <c r="B23" s="41" t="str">
        <f>IF(inputPrYr!$B23&gt;"  ",(inputPrYr!$B23),"  ")</f>
        <v>Bond &amp; Interest</v>
      </c>
      <c r="C23" s="102" t="str">
        <f>IF(inputPrYr!C23&gt;0,(inputPrYr!C23),"  ")</f>
        <v xml:space="preserve">  </v>
      </c>
      <c r="D23" s="96">
        <f>IF('Bond &amp; Interest'!C87&gt;0,'Bond &amp; Interest'!C87,"  ")</f>
        <v>8</v>
      </c>
      <c r="E23" s="428">
        <f>IF('Bond &amp; Interest'!$E$33&gt;0,'Bond &amp; Interest'!$E$33,"  ")</f>
        <v>182393</v>
      </c>
      <c r="F23" s="468">
        <f>IF('Bond &amp; Interest'!$E$40&lt;&gt;0,'Bond &amp; Interest'!$E$40,0)</f>
        <v>0</v>
      </c>
      <c r="G23" s="467" t="str">
        <f t="shared" si="0"/>
        <v/>
      </c>
    </row>
    <row r="24" spans="2:7" x14ac:dyDescent="0.2">
      <c r="B24" s="41" t="str">
        <f>IF(inputPrYr!$B24&gt;"  ",(inputPrYr!$B24),"  ")</f>
        <v xml:space="preserve">  </v>
      </c>
      <c r="C24" s="102" t="str">
        <f>IF(inputPrYr!C24&gt;0,(inputPrYr!C24),"  ")</f>
        <v xml:space="preserve">  </v>
      </c>
      <c r="D24" s="96">
        <f>IF('Bond &amp; Interest'!C87&gt;0,'Bond &amp; Interest'!C87,"  ")</f>
        <v>8</v>
      </c>
      <c r="E24" s="428" t="str">
        <f>IF('Bond &amp; Interest'!$E$75&gt;0,'Bond &amp; Interest'!$E$75,"  ")</f>
        <v xml:space="preserve">  </v>
      </c>
      <c r="F24" s="468">
        <f>IF('Bond &amp; Interest'!$E$82&lt;&gt;0,'Bond &amp; Interest'!$E$82,0)</f>
        <v>0</v>
      </c>
      <c r="G24" s="467" t="str">
        <f t="shared" si="0"/>
        <v/>
      </c>
    </row>
    <row r="25" spans="2:7" x14ac:dyDescent="0.2">
      <c r="B25" s="41" t="str">
        <f>IF(inputPrYr!$B25&gt;"  ",(inputPrYr!$B25),"  ")</f>
        <v xml:space="preserve">  </v>
      </c>
      <c r="C25" s="102" t="str">
        <f>IF(inputPrYr!C25&gt;0,(inputPrYr!C25),"  ")</f>
        <v xml:space="preserve">  </v>
      </c>
      <c r="D25" s="96">
        <f>IF('Levy Page 10'!C87&gt;0,'Levy Page 10'!C87,"  ")</f>
        <v>9</v>
      </c>
      <c r="E25" s="428" t="str">
        <f>IF('Levy Page 10'!$E$32&gt;0,'Levy Page 10'!$E$32,"  ")</f>
        <v xml:space="preserve">  </v>
      </c>
      <c r="F25" s="468">
        <f>IF('Levy Page 10'!$E$39&lt;&gt;0,'Levy Page 10'!$E$39,0)</f>
        <v>0</v>
      </c>
      <c r="G25" s="467" t="str">
        <f t="shared" si="0"/>
        <v/>
      </c>
    </row>
    <row r="26" spans="2:7" x14ac:dyDescent="0.2">
      <c r="B26" s="41" t="str">
        <f>IF(inputPrYr!$B26&gt;"  ",(inputPrYr!$B26),"  ")</f>
        <v xml:space="preserve">  </v>
      </c>
      <c r="C26" s="102" t="str">
        <f>IF(inputPrYr!C26&gt;0,(inputPrYr!C26),"  ")</f>
        <v xml:space="preserve">  </v>
      </c>
      <c r="D26" s="96">
        <f>IF('Levy Page 10'!C87&gt;0,'Levy Page 10'!C87,"  ")</f>
        <v>9</v>
      </c>
      <c r="E26" s="428" t="str">
        <f>IF('Levy Page 10'!$E$74&gt;0,'Levy Page 10'!$E$74,"  ")</f>
        <v xml:space="preserve">  </v>
      </c>
      <c r="F26" s="468">
        <f>IF('Levy Page 10'!$E$81&lt;&gt;0,'Levy Page 10'!$E$81,0)</f>
        <v>0</v>
      </c>
      <c r="G26" s="467" t="str">
        <f t="shared" si="0"/>
        <v/>
      </c>
    </row>
    <row r="27" spans="2:7" x14ac:dyDescent="0.2">
      <c r="B27" s="41" t="str">
        <f>IF(inputPrYr!$B27&gt;"  ",(inputPrYr!$B27),"  ")</f>
        <v xml:space="preserve">  </v>
      </c>
      <c r="C27" s="102" t="str">
        <f>IF(inputPrYr!C27&gt;0,(inputPrYr!C27),"  ")</f>
        <v xml:space="preserve">  </v>
      </c>
      <c r="D27" s="96">
        <f>IF('Levy Page 11'!C87&gt;0,'Levy Page 11'!C87,"  ")</f>
        <v>10</v>
      </c>
      <c r="E27" s="428" t="str">
        <f>IF('Levy Page 11'!$E$35&gt;0,'Levy Page 11'!$E$35,"  ")</f>
        <v xml:space="preserve">  </v>
      </c>
      <c r="F27" s="468">
        <f>IF('Levy Page 11'!$E$42&lt;&gt;0,'Levy Page 11'!$E$42,0)</f>
        <v>0</v>
      </c>
      <c r="G27" s="467" t="str">
        <f t="shared" si="0"/>
        <v/>
      </c>
    </row>
    <row r="28" spans="2:7" x14ac:dyDescent="0.2">
      <c r="B28" s="41" t="str">
        <f>IF(inputPrYr!$B28&gt;"  ",(inputPrYr!$B28),"  ")</f>
        <v xml:space="preserve">  </v>
      </c>
      <c r="C28" s="102" t="str">
        <f>IF(inputPrYr!C28&gt;0,(inputPrYr!C28),"  ")</f>
        <v xml:space="preserve">  </v>
      </c>
      <c r="D28" s="96">
        <f>IF('Levy Page 11'!C87&gt;0,'Levy Page 11'!C87,"  ")</f>
        <v>10</v>
      </c>
      <c r="E28" s="428" t="str">
        <f>IF('Levy Page 11'!$E$75&gt;0,'Levy Page 11'!$E$75,"  ")</f>
        <v xml:space="preserve">  </v>
      </c>
      <c r="F28" s="468">
        <f>IF('Levy Page 11'!$E$82&lt;&gt;0,'Levy Page 11'!$E$82,0)</f>
        <v>0</v>
      </c>
      <c r="G28" s="467" t="str">
        <f t="shared" si="0"/>
        <v/>
      </c>
    </row>
    <row r="29" spans="2:7" x14ac:dyDescent="0.2">
      <c r="B29" s="41" t="str">
        <f>IF(inputPrYr!$B29&gt;"  ",(inputPrYr!$B29),"  ")</f>
        <v xml:space="preserve">  </v>
      </c>
      <c r="C29" s="102" t="str">
        <f>IF(inputPrYr!C29&gt;0,(inputPrYr!C29),"  ")</f>
        <v xml:space="preserve">  </v>
      </c>
      <c r="D29" s="96">
        <f>IF('Levy Page 12'!C87&gt;0,'Levy Page 12'!C87,"  ")</f>
        <v>11</v>
      </c>
      <c r="E29" s="428" t="str">
        <f>IF('Levy Page 12'!$E$35&gt;0,'Levy Page 12'!$E$35,"  ")</f>
        <v xml:space="preserve">  </v>
      </c>
      <c r="F29" s="468">
        <f>IF('Levy Page 12'!$E$42&lt;&gt;0,'Levy Page 12'!$E$42,0)</f>
        <v>0</v>
      </c>
      <c r="G29" s="467" t="str">
        <f t="shared" si="0"/>
        <v/>
      </c>
    </row>
    <row r="30" spans="2:7" x14ac:dyDescent="0.2">
      <c r="B30" s="41" t="str">
        <f>IF(inputPrYr!$B30&gt;"  ",(inputPrYr!$B30),"  ")</f>
        <v xml:space="preserve">  </v>
      </c>
      <c r="C30" s="102" t="str">
        <f>IF(inputPrYr!C30&gt;0,(inputPrYr!C30),"  ")</f>
        <v xml:space="preserve">  </v>
      </c>
      <c r="D30" s="96">
        <f>IF('Levy Page 12'!C87&gt;0,'Levy Page 12'!C87,"  ")</f>
        <v>11</v>
      </c>
      <c r="E30" s="428" t="str">
        <f>IF('Levy Page 12'!$E$74&gt;0,'Levy Page 12'!$E$74,"  ")</f>
        <v xml:space="preserve">  </v>
      </c>
      <c r="F30" s="468">
        <f>IF('Levy Page 12'!$E$81&lt;&gt;0,'Levy Page 12'!$E$81,0)</f>
        <v>0</v>
      </c>
      <c r="G30" s="467" t="str">
        <f t="shared" si="0"/>
        <v/>
      </c>
    </row>
    <row r="31" spans="2:7" x14ac:dyDescent="0.2">
      <c r="B31" s="41" t="str">
        <f>IF(inputPrYr!$B31&gt;"  ",(inputPrYr!$B31),"  ")</f>
        <v xml:space="preserve">  </v>
      </c>
      <c r="C31" s="102" t="str">
        <f>IF(inputPrYr!C31&gt;0,(inputPrYr!C31),"  ")</f>
        <v xml:space="preserve">  </v>
      </c>
      <c r="D31" s="96">
        <f>IF('Levy Page 13'!C87&gt;0,'Levy Page 13'!C87,"  ")</f>
        <v>12</v>
      </c>
      <c r="E31" s="428" t="str">
        <f>IF('Levy Page 13'!$E$32&gt;0,'Levy Page 13'!$E$32,"  ")</f>
        <v xml:space="preserve">  </v>
      </c>
      <c r="F31" s="468">
        <f>IF('Levy Page 13'!$E$39&lt;&gt;0,'Levy Page 13'!$E$39,0)</f>
        <v>0</v>
      </c>
      <c r="G31" s="467" t="str">
        <f t="shared" si="0"/>
        <v/>
      </c>
    </row>
    <row r="32" spans="2:7" x14ac:dyDescent="0.2">
      <c r="B32" s="41" t="str">
        <f>IF(inputPrYr!$B32&gt;"  ",(inputPrYr!$B32),"  ")</f>
        <v xml:space="preserve">  </v>
      </c>
      <c r="C32" s="102" t="str">
        <f>IF(inputPrYr!C32&gt;0,(inputPrYr!C32),"  ")</f>
        <v xml:space="preserve">  </v>
      </c>
      <c r="D32" s="96">
        <f>IF('Levy Page 13'!C87&gt;0,'Levy Page 13'!C87,"  ")</f>
        <v>12</v>
      </c>
      <c r="E32" s="428" t="str">
        <f>IF('Levy Page 13'!$E$74&gt;0,'Levy Page 13'!$E$74,"  ")</f>
        <v xml:space="preserve">  </v>
      </c>
      <c r="F32" s="468">
        <f>IF('Levy Page 13'!$E$81&lt;&gt;0,'Levy Page 13'!$E$81,0)</f>
        <v>0</v>
      </c>
      <c r="G32" s="467" t="str">
        <f t="shared" si="0"/>
        <v/>
      </c>
    </row>
    <row r="33" spans="2:7" x14ac:dyDescent="0.2">
      <c r="B33" s="103" t="str">
        <f>IF(inputPrYr!$B36&gt;"  ",(inputPrYr!$B36),"  ")</f>
        <v>Special Highway</v>
      </c>
      <c r="C33" s="48"/>
      <c r="D33" s="104">
        <f>IF('Spec Hwy &amp; RHID'!C64&gt;0,'Spec Hwy &amp; RHID'!C64,"  ")</f>
        <v>13</v>
      </c>
      <c r="E33" s="428">
        <f>IF('Spec Hwy &amp; RHID'!$E$25&gt;0,'Spec Hwy &amp; RHID'!$E$25,"  ")</f>
        <v>172841</v>
      </c>
      <c r="F33" s="428"/>
      <c r="G33" s="469"/>
    </row>
    <row r="34" spans="2:7" x14ac:dyDescent="0.2">
      <c r="B34" s="103" t="str">
        <f>IF(inputPrYr!$B37&gt;"  ",(inputPrYr!$B37),"  ")</f>
        <v xml:space="preserve">RHID </v>
      </c>
      <c r="C34" s="48"/>
      <c r="D34" s="104">
        <f>IF('Spec Hwy &amp; RHID'!C64&gt;0,'Spec Hwy &amp; RHID'!C64,"  ")</f>
        <v>13</v>
      </c>
      <c r="E34" s="428">
        <f>IF('Spec Hwy &amp; RHID'!$E$56&gt;0,'Spec Hwy &amp; RHID'!$E$56,"  ")</f>
        <v>60000</v>
      </c>
      <c r="F34" s="428"/>
      <c r="G34" s="469"/>
    </row>
    <row r="35" spans="2:7" x14ac:dyDescent="0.2">
      <c r="B35" s="103" t="str">
        <f>IF(inputPrYr!$B38&gt;"  ",(inputPrYr!$B38),"  ")</f>
        <v>Water Utility</v>
      </c>
      <c r="C35" s="48"/>
      <c r="D35" s="104">
        <f>IF('Water &amp; Sewer'!C77&gt;0,'Water &amp; Sewer'!C77,"  ")</f>
        <v>14</v>
      </c>
      <c r="E35" s="428">
        <f>IF('Water &amp; Sewer'!$E$32&gt;0,'Water &amp; Sewer'!$E$32,"  ")</f>
        <v>543500</v>
      </c>
      <c r="F35" s="428"/>
      <c r="G35" s="469"/>
    </row>
    <row r="36" spans="2:7" x14ac:dyDescent="0.2">
      <c r="B36" s="103" t="str">
        <f>IF(inputPrYr!$B39&gt;"  ",(inputPrYr!$B39),"  ")</f>
        <v>Sewer Utility</v>
      </c>
      <c r="C36" s="48"/>
      <c r="D36" s="104">
        <f>IF('Water &amp; Sewer'!C77&gt;0,'Water &amp; Sewer'!C77,"  ")</f>
        <v>14</v>
      </c>
      <c r="E36" s="428">
        <f>IF('Water &amp; Sewer'!$E$69&gt;0,'Water &amp; Sewer'!$E$69,"  ")</f>
        <v>3821000</v>
      </c>
      <c r="F36" s="428"/>
      <c r="G36" s="469"/>
    </row>
    <row r="37" spans="2:7" x14ac:dyDescent="0.2">
      <c r="B37" s="103" t="str">
        <f>IF(inputPrYr!$B40&gt;"  ",(inputPrYr!$B40),"  ")</f>
        <v xml:space="preserve">Solid Waste Utility </v>
      </c>
      <c r="C37" s="48"/>
      <c r="D37" s="104">
        <f>IF(Trash!C65&gt;0,Trash!C65,"  ")</f>
        <v>15</v>
      </c>
      <c r="E37" s="428">
        <f>IF(Trash!$E$26&gt;0,Trash!$E$26,"  ")</f>
        <v>258000</v>
      </c>
      <c r="F37" s="428"/>
      <c r="G37" s="469"/>
    </row>
    <row r="38" spans="2:7" x14ac:dyDescent="0.2">
      <c r="B38" s="105" t="str">
        <f>IF(inputPrYr!$B41&gt;"  ",(inputPrYr!$B41),"  ")</f>
        <v xml:space="preserve">  </v>
      </c>
      <c r="C38" s="48"/>
      <c r="D38" s="104">
        <f>IF(Trash!C65&gt;0,Trash!C65,"  ")</f>
        <v>15</v>
      </c>
      <c r="E38" s="428" t="str">
        <f>IF(Trash!$E$57&gt;0,Trash!$E$57,"  ")</f>
        <v xml:space="preserve">  </v>
      </c>
      <c r="F38" s="428"/>
      <c r="G38" s="469"/>
    </row>
    <row r="39" spans="2:7" x14ac:dyDescent="0.2">
      <c r="B39" s="103" t="str">
        <f>IF(inputPrYr!$B42&gt;"  ",(inputPrYr!$B42),"  ")</f>
        <v xml:space="preserve">  </v>
      </c>
      <c r="C39" s="48"/>
      <c r="D39" s="104">
        <f>IF('No Levy Page 17'!C65&gt;0,'No Levy Page 17'!C65,"  ")</f>
        <v>16</v>
      </c>
      <c r="E39" s="428" t="str">
        <f>IF('No Levy Page 17'!$E$26&gt;0,'No Levy Page 17'!$E$26,"  ")</f>
        <v xml:space="preserve">  </v>
      </c>
      <c r="F39" s="428"/>
      <c r="G39" s="469"/>
    </row>
    <row r="40" spans="2:7" x14ac:dyDescent="0.2">
      <c r="B40" s="103" t="str">
        <f>IF(inputPrYr!$B43&gt;"  ",(inputPrYr!$B43),"  ")</f>
        <v xml:space="preserve">  </v>
      </c>
      <c r="C40" s="48"/>
      <c r="D40" s="104">
        <f>IF('No Levy Page 17'!C65&gt;0,'No Levy Page 17'!C65,"  ")</f>
        <v>16</v>
      </c>
      <c r="E40" s="428" t="str">
        <f>IF('No Levy Page 17'!$E$57&gt;0,'No Levy Page 17'!$E$57,"  ")</f>
        <v xml:space="preserve">  </v>
      </c>
      <c r="F40" s="428"/>
      <c r="G40" s="469"/>
    </row>
    <row r="41" spans="2:7" x14ac:dyDescent="0.2">
      <c r="B41" s="103" t="str">
        <f>IF(inputPrYr!$B46&gt;"  ",(inputPrYr!$B46),"  ")</f>
        <v xml:space="preserve">  </v>
      </c>
      <c r="C41" s="45"/>
      <c r="D41" s="104">
        <f>IF('Single No Levy Page 18'!$C$52&gt;0,'Single No Levy Page 18'!$C$52,"  ")</f>
        <v>17</v>
      </c>
      <c r="E41" s="428" t="str">
        <f>IF('Single No Levy Page 18'!$E$44&gt;0,'Single No Levy Page 18'!$E$44,"  ")</f>
        <v xml:space="preserve">  </v>
      </c>
      <c r="F41" s="428"/>
      <c r="G41" s="469"/>
    </row>
    <row r="42" spans="2:7" x14ac:dyDescent="0.2">
      <c r="B42" s="103" t="str">
        <f>IF(inputPrYr!$B47&gt;"  ",(inputPrYr!$B47),"  ")</f>
        <v xml:space="preserve">  </v>
      </c>
      <c r="C42" s="45"/>
      <c r="D42" s="104">
        <f>IF('Single No Levy Page 19'!$C$52&gt;0,'Single No Levy Page 19'!$C$52,"  ")</f>
        <v>18</v>
      </c>
      <c r="E42" s="428" t="str">
        <f>IF('Single No Levy Page 19'!$E$44&gt;0,'Single No Levy Page 19'!$E$44,"  ")</f>
        <v xml:space="preserve">  </v>
      </c>
      <c r="F42" s="428"/>
      <c r="G42" s="469"/>
    </row>
    <row r="43" spans="2:7" x14ac:dyDescent="0.2">
      <c r="B43" s="103" t="str">
        <f>IF(inputPrYr!$B48&gt;"  ",(inputPrYr!$B48),"  ")</f>
        <v xml:space="preserve">  </v>
      </c>
      <c r="C43" s="45"/>
      <c r="D43" s="104">
        <f>IF('Single No Levy Page 20'!$C$53&gt;0,'Single No Levy Page 20'!$C$53,"  ")</f>
        <v>19</v>
      </c>
      <c r="E43" s="428" t="str">
        <f>IF('Single No Levy Page 20'!$E$45&gt;0,'Single No Levy Page 20'!$E$45,"  ")</f>
        <v xml:space="preserve">  </v>
      </c>
      <c r="F43" s="428"/>
      <c r="G43" s="469"/>
    </row>
    <row r="44" spans="2:7" x14ac:dyDescent="0.2">
      <c r="B44" s="103" t="str">
        <f>IF(inputPrYr!$B49&gt;"  ",(inputPrYr!$B49),"  ")</f>
        <v xml:space="preserve">  </v>
      </c>
      <c r="C44" s="45"/>
      <c r="D44" s="104">
        <f>IF('Single No Levy Page 21'!$C$52&gt;0,'Single No Levy Page 21'!$C$52,"  ")</f>
        <v>20</v>
      </c>
      <c r="E44" s="428" t="str">
        <f>IF('Single No Levy Page 21'!$E$44&gt;0,'Single No Levy Page 21'!$E$44,"  ")</f>
        <v xml:space="preserve">  </v>
      </c>
      <c r="F44" s="428"/>
      <c r="G44" s="469"/>
    </row>
    <row r="45" spans="2:7" x14ac:dyDescent="0.2">
      <c r="B45" s="103" t="str">
        <f>IF(inputPrYr!$B53&gt;"  ",('Non-Budgeted Funds A'!$A3),"  ")</f>
        <v>Non-Budgeted Funds-A</v>
      </c>
      <c r="C45" s="45"/>
      <c r="D45" s="104">
        <f>IF('Non-Budgeted Funds A'!F37&gt;0,'Non-Budgeted Funds A'!F37,"  ")</f>
        <v>21</v>
      </c>
      <c r="E45" s="428"/>
      <c r="F45" s="428"/>
      <c r="G45" s="469"/>
    </row>
    <row r="46" spans="2:7" ht="16.5" thickBot="1" x14ac:dyDescent="0.25">
      <c r="B46" s="103" t="str">
        <f>IF(inputPrYr!$B59&gt;"  ",('Non-Budgeted Funds B'!$A3),"  ")</f>
        <v>Non-Budgeted Funds-B</v>
      </c>
      <c r="C46" s="45"/>
      <c r="D46" s="104">
        <f>IF('Non-Budgeted Funds B'!F37&gt;0,'Non-Budgeted Funds B'!F37,"  ")</f>
        <v>22</v>
      </c>
      <c r="E46" s="799"/>
      <c r="F46" s="799"/>
      <c r="G46" s="800"/>
    </row>
    <row r="47" spans="2:7" ht="16.5" thickBot="1" x14ac:dyDescent="0.25">
      <c r="B47" s="303" t="s">
        <v>619</v>
      </c>
      <c r="C47" s="45"/>
      <c r="D47" s="173" t="s">
        <v>10</v>
      </c>
      <c r="E47" s="792">
        <f>SUM(E20:E46)</f>
        <v>5767435</v>
      </c>
      <c r="F47" s="792">
        <f>SUM(F20:F46)</f>
        <v>217110</v>
      </c>
      <c r="G47" s="793" t="str">
        <f>IF(SUM(G20:G46)=0,"",SUM(G20:G46))</f>
        <v/>
      </c>
    </row>
    <row r="48" spans="2:7" ht="16.5" thickTop="1" x14ac:dyDescent="0.2">
      <c r="B48" s="854" t="s">
        <v>1042</v>
      </c>
      <c r="C48" s="855"/>
      <c r="D48" s="96">
        <f>IF('Budget Hearing Notice'!D63&gt;0, 'Budget Hearing Notice'!D63, " ")</f>
        <v>23</v>
      </c>
      <c r="E48" s="756"/>
      <c r="F48" s="755"/>
      <c r="G48" s="459" t="s">
        <v>107</v>
      </c>
    </row>
    <row r="49" spans="2:8" x14ac:dyDescent="0.2">
      <c r="B49" s="854" t="s">
        <v>1043</v>
      </c>
      <c r="C49" s="855"/>
      <c r="D49" s="96">
        <f>IF('Combined Rate-Bud Hearing Notic'!D63&gt;0, 'Combined Rate-Bud Hearing Notic'!D63, " ")</f>
        <v>24</v>
      </c>
      <c r="E49" s="107"/>
      <c r="F49" s="6"/>
      <c r="G49" s="847"/>
    </row>
    <row r="50" spans="2:8" s="744" customFormat="1" x14ac:dyDescent="0.2">
      <c r="B50" s="854" t="s">
        <v>966</v>
      </c>
      <c r="C50" s="855"/>
      <c r="D50" s="96">
        <f>IF('RNR Hearing Notice'!E17&gt;0, 'RNR Hearing Notice'!E17, " ")</f>
        <v>25</v>
      </c>
      <c r="E50" s="107"/>
      <c r="F50" s="6"/>
      <c r="G50" s="848"/>
    </row>
    <row r="51" spans="2:8" ht="15.75" customHeight="1" x14ac:dyDescent="0.2">
      <c r="B51" s="854" t="s">
        <v>112</v>
      </c>
      <c r="C51" s="855"/>
      <c r="D51" s="96">
        <f>IF('NR Rebate'!C40, 'NR Rebate'!C40, " ")</f>
        <v>26</v>
      </c>
      <c r="E51" s="107"/>
      <c r="F51" s="6"/>
      <c r="G51" s="845" t="str">
        <f>CONCATENATE("Nov 1, ",G1-1," Total Assessed Valuation")</f>
        <v>Nov 1, 2022 Total Assessed Valuation</v>
      </c>
    </row>
    <row r="52" spans="2:8" x14ac:dyDescent="0.2">
      <c r="B52" s="307"/>
      <c r="C52" s="308"/>
      <c r="D52" s="309"/>
      <c r="E52" s="305"/>
      <c r="F52" s="306"/>
      <c r="G52" s="846"/>
    </row>
    <row r="53" spans="2:8" s="787" customFormat="1" x14ac:dyDescent="0.2">
      <c r="B53" s="642"/>
      <c r="C53" s="640"/>
      <c r="D53" s="643"/>
      <c r="E53" s="305"/>
      <c r="F53" s="306"/>
      <c r="G53" s="306"/>
    </row>
    <row r="54" spans="2:8" x14ac:dyDescent="0.2">
      <c r="B54" s="642"/>
      <c r="C54" s="640"/>
      <c r="D54" s="643"/>
      <c r="E54" s="849" t="s">
        <v>1038</v>
      </c>
      <c r="F54" s="850"/>
      <c r="G54" s="797">
        <f>inputOth!D20</f>
        <v>34.689</v>
      </c>
    </row>
    <row r="55" spans="2:8" s="787" customFormat="1" x14ac:dyDescent="0.2">
      <c r="B55" s="642"/>
      <c r="C55" s="640"/>
      <c r="D55" s="643"/>
      <c r="E55" s="795"/>
      <c r="F55" s="795"/>
      <c r="G55" s="796"/>
    </row>
    <row r="56" spans="2:8" x14ac:dyDescent="0.2">
      <c r="B56" s="37" t="s">
        <v>11</v>
      </c>
      <c r="C56" s="36"/>
      <c r="D56" s="6"/>
      <c r="E56" s="304"/>
      <c r="F56" s="36"/>
      <c r="G56" s="36"/>
    </row>
    <row r="57" spans="2:8" x14ac:dyDescent="0.2">
      <c r="B57" s="268"/>
      <c r="C57" s="36"/>
      <c r="D57" s="36" t="s">
        <v>1040</v>
      </c>
      <c r="E57" s="465"/>
      <c r="F57" s="36"/>
      <c r="G57" s="36"/>
      <c r="H57" s="794"/>
    </row>
    <row r="58" spans="2:8" x14ac:dyDescent="0.2">
      <c r="B58" s="267"/>
      <c r="C58" s="6"/>
      <c r="D58" s="37"/>
      <c r="E58" s="466"/>
      <c r="F58" s="36"/>
      <c r="G58" s="36"/>
    </row>
    <row r="59" spans="2:8" x14ac:dyDescent="0.2">
      <c r="B59" s="37" t="s">
        <v>110</v>
      </c>
      <c r="C59" s="36"/>
      <c r="D59" s="36" t="s">
        <v>1040</v>
      </c>
      <c r="E59" s="464"/>
      <c r="F59" s="197"/>
      <c r="G59" s="197"/>
    </row>
    <row r="60" spans="2:8" x14ac:dyDescent="0.2">
      <c r="B60" s="268"/>
      <c r="C60" s="9"/>
      <c r="D60" s="36"/>
      <c r="E60" s="36"/>
      <c r="F60" s="6"/>
      <c r="G60" s="6"/>
    </row>
    <row r="61" spans="2:8" x14ac:dyDescent="0.2">
      <c r="B61" s="267"/>
      <c r="C61" s="108"/>
      <c r="D61" s="36" t="s">
        <v>1040</v>
      </c>
      <c r="E61" s="36"/>
      <c r="F61" s="197"/>
      <c r="G61" s="197"/>
    </row>
    <row r="62" spans="2:8" x14ac:dyDescent="0.2">
      <c r="B62" s="37" t="s">
        <v>722</v>
      </c>
      <c r="C62" s="36"/>
      <c r="D62" s="6"/>
      <c r="E62" s="6"/>
      <c r="F62" s="6"/>
      <c r="G62" s="6"/>
    </row>
    <row r="63" spans="2:8" x14ac:dyDescent="0.2">
      <c r="B63" s="268"/>
      <c r="C63" s="109"/>
      <c r="D63" s="36" t="s">
        <v>1040</v>
      </c>
      <c r="E63" s="36"/>
      <c r="F63" s="197"/>
      <c r="G63" s="197"/>
    </row>
    <row r="64" spans="2:8" x14ac:dyDescent="0.2">
      <c r="B64" s="10" t="s">
        <v>185</v>
      </c>
      <c r="C64" s="110">
        <f>G1-1</f>
        <v>2022</v>
      </c>
      <c r="D64" s="6"/>
      <c r="E64" s="6"/>
      <c r="F64" s="14"/>
      <c r="G64" s="6"/>
    </row>
    <row r="65" spans="2:7" x14ac:dyDescent="0.2">
      <c r="B65" s="431"/>
      <c r="C65" s="6"/>
      <c r="D65" s="36" t="s">
        <v>1040</v>
      </c>
      <c r="E65" s="36"/>
      <c r="F65" s="36"/>
      <c r="G65" s="36"/>
    </row>
    <row r="66" spans="2:7" x14ac:dyDescent="0.2">
      <c r="B66" s="20" t="s">
        <v>13</v>
      </c>
      <c r="C66" s="6"/>
      <c r="D66" s="843" t="s">
        <v>12</v>
      </c>
      <c r="E66" s="844"/>
      <c r="F66" s="844"/>
      <c r="G66" s="844"/>
    </row>
    <row r="67" spans="2:7" x14ac:dyDescent="0.2">
      <c r="B67" s="642"/>
      <c r="C67" s="640"/>
      <c r="D67" s="643"/>
      <c r="E67" s="305"/>
      <c r="F67" s="306"/>
      <c r="G67" s="642"/>
    </row>
    <row r="68" spans="2:7" x14ac:dyDescent="0.2">
      <c r="B68" s="726" t="s">
        <v>839</v>
      </c>
      <c r="C68" s="676"/>
      <c r="D68" s="677"/>
      <c r="E68" s="678"/>
      <c r="F68" s="679"/>
      <c r="G68" s="680"/>
    </row>
    <row r="69" spans="2:7" x14ac:dyDescent="0.2">
      <c r="B69" s="681"/>
      <c r="C69" s="640"/>
      <c r="D69" s="643"/>
      <c r="E69" s="305"/>
      <c r="F69" s="306"/>
      <c r="G69" s="682"/>
    </row>
    <row r="70" spans="2:7" x14ac:dyDescent="0.2">
      <c r="B70" s="683"/>
      <c r="C70" s="684"/>
      <c r="D70" s="685"/>
      <c r="E70" s="686"/>
      <c r="F70" s="687"/>
      <c r="G70" s="688"/>
    </row>
    <row r="71" spans="2:7" x14ac:dyDescent="0.2">
      <c r="B71" s="642"/>
      <c r="C71" s="640"/>
      <c r="D71" s="643"/>
      <c r="E71" s="305"/>
      <c r="F71" s="306"/>
      <c r="G71" s="642"/>
    </row>
    <row r="77" spans="2:7" ht="15" x14ac:dyDescent="0.2">
      <c r="B77" s="54"/>
      <c r="C77" s="54"/>
      <c r="D77" s="54"/>
      <c r="E77" s="54"/>
      <c r="F77" s="54"/>
      <c r="G77" s="54"/>
    </row>
    <row r="78" spans="2:7" ht="15" x14ac:dyDescent="0.2">
      <c r="B78" s="54"/>
      <c r="C78" s="54"/>
      <c r="D78" s="54"/>
      <c r="E78" s="54"/>
      <c r="F78" s="54"/>
      <c r="G78" s="54"/>
    </row>
    <row r="79" spans="2:7" ht="15" x14ac:dyDescent="0.2">
      <c r="B79" s="54"/>
      <c r="C79" s="54"/>
      <c r="D79" s="54"/>
      <c r="E79" s="54"/>
      <c r="F79" s="54"/>
      <c r="G79" s="54"/>
    </row>
    <row r="80" spans="2:7" ht="15" x14ac:dyDescent="0.2">
      <c r="B80" s="54"/>
      <c r="C80" s="54"/>
      <c r="D80" s="54"/>
      <c r="E80" s="54"/>
      <c r="F80" s="54"/>
      <c r="G80" s="54"/>
    </row>
    <row r="81" spans="2:7" ht="15" x14ac:dyDescent="0.2">
      <c r="B81" s="54"/>
      <c r="C81" s="54"/>
      <c r="D81" s="54"/>
      <c r="E81" s="54"/>
      <c r="F81" s="54"/>
      <c r="G81" s="54"/>
    </row>
    <row r="82" spans="2:7" ht="15" x14ac:dyDescent="0.2">
      <c r="B82" s="54"/>
      <c r="C82" s="54"/>
      <c r="D82" s="54"/>
      <c r="E82" s="54"/>
      <c r="F82" s="54"/>
      <c r="G82" s="54"/>
    </row>
    <row r="83" spans="2:7" ht="15" x14ac:dyDescent="0.2">
      <c r="B83" s="54"/>
      <c r="C83" s="54"/>
      <c r="D83" s="54"/>
      <c r="E83" s="54"/>
      <c r="F83" s="54"/>
      <c r="G83" s="54"/>
    </row>
    <row r="84" spans="2:7" ht="15" x14ac:dyDescent="0.2">
      <c r="B84" s="54"/>
      <c r="C84" s="54"/>
      <c r="D84" s="54"/>
      <c r="E84" s="54"/>
      <c r="F84" s="54"/>
      <c r="G84" s="54"/>
    </row>
    <row r="85" spans="2:7" ht="15" x14ac:dyDescent="0.2">
      <c r="B85" s="54"/>
      <c r="C85" s="54"/>
      <c r="D85" s="54"/>
      <c r="E85" s="54"/>
      <c r="F85" s="54"/>
      <c r="G85" s="54"/>
    </row>
    <row r="86" spans="2:7" ht="15" x14ac:dyDescent="0.2">
      <c r="B86" s="54"/>
      <c r="C86" s="54"/>
      <c r="D86" s="54"/>
      <c r="E86" s="54"/>
      <c r="F86" s="54"/>
      <c r="G86" s="54"/>
    </row>
    <row r="87" spans="2:7" ht="15" x14ac:dyDescent="0.2">
      <c r="B87" s="54"/>
      <c r="C87" s="54"/>
      <c r="D87" s="54"/>
      <c r="E87" s="54"/>
      <c r="F87" s="54"/>
      <c r="G87" s="54"/>
    </row>
    <row r="88" spans="2:7" ht="15" x14ac:dyDescent="0.2">
      <c r="B88" s="54"/>
      <c r="C88" s="54"/>
      <c r="D88" s="54"/>
      <c r="E88" s="54"/>
      <c r="F88" s="54"/>
      <c r="G88" s="54"/>
    </row>
    <row r="89" spans="2:7" ht="15" x14ac:dyDescent="0.2">
      <c r="B89" s="54"/>
      <c r="C89" s="54"/>
      <c r="D89" s="54"/>
      <c r="E89" s="54"/>
      <c r="F89" s="54"/>
      <c r="G89" s="54"/>
    </row>
    <row r="90" spans="2:7" ht="15" x14ac:dyDescent="0.2">
      <c r="B90" s="54"/>
      <c r="C90" s="54"/>
      <c r="D90" s="54"/>
      <c r="E90" s="54"/>
      <c r="F90" s="54"/>
      <c r="G90" s="54"/>
    </row>
    <row r="91" spans="2:7" ht="15" x14ac:dyDescent="0.2">
      <c r="B91" s="54"/>
      <c r="C91" s="54"/>
      <c r="D91" s="54"/>
      <c r="E91" s="54"/>
      <c r="F91" s="54"/>
      <c r="G91" s="54"/>
    </row>
    <row r="92" spans="2:7" ht="15" x14ac:dyDescent="0.2">
      <c r="B92" s="54"/>
      <c r="C92" s="54"/>
      <c r="D92" s="54"/>
      <c r="E92" s="54"/>
      <c r="F92" s="54"/>
      <c r="G92" s="54"/>
    </row>
    <row r="95" spans="2:7" x14ac:dyDescent="0.2">
      <c r="B95" s="2"/>
      <c r="C95" s="2"/>
      <c r="D95" s="2"/>
      <c r="E95" s="2"/>
      <c r="F95" s="2"/>
      <c r="G95" s="2"/>
    </row>
  </sheetData>
  <sheetProtection sheet="1" objects="1" scenarios="1"/>
  <mergeCells count="11">
    <mergeCell ref="B5:G5"/>
    <mergeCell ref="B3:G3"/>
    <mergeCell ref="D66:G66"/>
    <mergeCell ref="G51:G52"/>
    <mergeCell ref="G49:G50"/>
    <mergeCell ref="E54:F54"/>
    <mergeCell ref="G11:G13"/>
    <mergeCell ref="B48:C48"/>
    <mergeCell ref="B49:C49"/>
    <mergeCell ref="B50:C50"/>
    <mergeCell ref="B51:C51"/>
  </mergeCells>
  <phoneticPr fontId="0" type="noConversion"/>
  <pageMargins left="1" right="0.5" top="0.75" bottom="0.5" header="0.5" footer="0.25"/>
  <pageSetup scale="63" orientation="portrait" blackAndWhite="1" horizontalDpi="120" verticalDpi="144" r:id="rId1"/>
  <headerFooter alignWithMargins="0">
    <oddHeader xml:space="preserve">&amp;RState of Kansas
City
</oddHeader>
    <oddFooter>&amp;CPage No. 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00B0F0"/>
    <pageSetUpPr fitToPage="1"/>
  </sheetPr>
  <dimension ref="A1:I50"/>
  <sheetViews>
    <sheetView workbookViewId="0">
      <selection activeCell="I27" sqref="I27"/>
    </sheetView>
  </sheetViews>
  <sheetFormatPr defaultRowHeight="15.75" x14ac:dyDescent="0.2"/>
  <cols>
    <col min="1" max="1" width="8.88671875" style="7"/>
    <col min="2" max="2" width="17.88671875" style="7" customWidth="1"/>
    <col min="3" max="3" width="15.33203125" style="7" customWidth="1"/>
    <col min="4" max="9" width="10.77734375" style="7" customWidth="1"/>
    <col min="10" max="16384" width="8.88671875" style="7"/>
  </cols>
  <sheetData>
    <row r="1" spans="1:9" x14ac:dyDescent="0.2">
      <c r="A1" s="460"/>
      <c r="B1" s="112" t="str">
        <f>inputPrYr!D3</f>
        <v>Valley Falls</v>
      </c>
      <c r="C1" s="112"/>
      <c r="D1" s="6"/>
      <c r="E1" s="6"/>
      <c r="F1" s="6"/>
      <c r="G1" s="6"/>
      <c r="H1" s="6"/>
      <c r="I1" s="6"/>
    </row>
    <row r="2" spans="1:9" x14ac:dyDescent="0.2">
      <c r="A2" s="460"/>
      <c r="B2" s="6"/>
      <c r="C2" s="6"/>
      <c r="D2" s="6"/>
      <c r="E2" s="6"/>
      <c r="F2" s="6"/>
      <c r="G2" s="6"/>
      <c r="H2" s="6"/>
      <c r="I2" s="6">
        <f>inputPrYr!$C$6</f>
        <v>2023</v>
      </c>
    </row>
    <row r="3" spans="1:9" x14ac:dyDescent="0.2">
      <c r="A3" s="859" t="s">
        <v>823</v>
      </c>
      <c r="B3" s="860"/>
      <c r="C3" s="860"/>
      <c r="D3" s="860"/>
      <c r="E3" s="860"/>
      <c r="F3" s="860"/>
      <c r="G3" s="860"/>
      <c r="H3" s="860"/>
      <c r="I3" s="860"/>
    </row>
    <row r="4" spans="1:9" x14ac:dyDescent="0.2">
      <c r="A4" s="460"/>
      <c r="B4" s="6"/>
      <c r="C4" s="113"/>
      <c r="D4" s="114"/>
      <c r="E4" s="114"/>
      <c r="F4" s="6"/>
      <c r="G4" s="6"/>
      <c r="H4" s="6"/>
      <c r="I4" s="6"/>
    </row>
    <row r="5" spans="1:9" ht="21" customHeight="1" x14ac:dyDescent="0.2">
      <c r="A5" s="460"/>
      <c r="B5" s="115" t="s">
        <v>153</v>
      </c>
      <c r="C5" s="636" t="s">
        <v>810</v>
      </c>
      <c r="D5" s="856" t="str">
        <f>CONCATENATE("Allocation for Year ",I2,"")</f>
        <v>Allocation for Year 2023</v>
      </c>
      <c r="E5" s="857"/>
      <c r="F5" s="857"/>
      <c r="G5" s="857"/>
      <c r="H5" s="858"/>
      <c r="I5" s="461"/>
    </row>
    <row r="6" spans="1:9" x14ac:dyDescent="0.2">
      <c r="A6" s="460"/>
      <c r="B6" s="116" t="str">
        <f>CONCATENATE("for ",I2-1,"")</f>
        <v>for 2022</v>
      </c>
      <c r="C6" s="116" t="str">
        <f>CONCATENATE("Tax Year ",I2-2,"")</f>
        <v>Tax Year 2021</v>
      </c>
      <c r="D6" s="93" t="s">
        <v>88</v>
      </c>
      <c r="E6" s="93" t="s">
        <v>89</v>
      </c>
      <c r="F6" s="93" t="s">
        <v>87</v>
      </c>
      <c r="G6" s="645" t="s">
        <v>817</v>
      </c>
      <c r="H6" s="645" t="s">
        <v>818</v>
      </c>
      <c r="I6" s="463"/>
    </row>
    <row r="7" spans="1:9" x14ac:dyDescent="0.2">
      <c r="A7" s="460"/>
      <c r="B7" s="41" t="str">
        <f>(inputPrYr!B19)</f>
        <v>General</v>
      </c>
      <c r="C7" s="96">
        <f>(inputPrYr!E19)</f>
        <v>244504</v>
      </c>
      <c r="D7" s="96">
        <f>IF(inputOth!E42=0,0,D22-SUM(D8:D19))</f>
        <v>30257</v>
      </c>
      <c r="E7" s="96">
        <f>IF(inputOth!E43=0,0,E23-SUM(E8:E19))</f>
        <v>373</v>
      </c>
      <c r="F7" s="96">
        <f>IF(inputOth!E44=0,0,F24-SUM(F8:F19))</f>
        <v>67</v>
      </c>
      <c r="G7" s="96">
        <f>IF(inputOth!E45=0,0,G25-SUM(G8:G19))</f>
        <v>823</v>
      </c>
      <c r="H7" s="96">
        <f>IF(inputOth!E46=0,0,H26-SUM(H8:H19))</f>
        <v>0</v>
      </c>
      <c r="I7" s="461"/>
    </row>
    <row r="8" spans="1:9" x14ac:dyDescent="0.2">
      <c r="A8" s="460"/>
      <c r="B8" s="41" t="str">
        <f>IF(inputPrYr!$B20&gt;"  ",(inputPrYr!$B20),"  ")</f>
        <v>Debt Service</v>
      </c>
      <c r="C8" s="96" t="str">
        <f>IF(inputPrYr!$E20&gt;0,(inputPrYr!$E20),"  ")</f>
        <v xml:space="preserve">  </v>
      </c>
      <c r="D8" s="96" t="str">
        <f>IF(inputPrYr!E20&gt;0,ROUND(C8*$D$29,0),"  ")</f>
        <v xml:space="preserve">  </v>
      </c>
      <c r="E8" s="96" t="str">
        <f>IF(inputPrYr!E20&gt;0,ROUND(+C8*E$30,0)," ")</f>
        <v xml:space="preserve"> </v>
      </c>
      <c r="F8" s="96" t="str">
        <f>IF(inputPrYr!E20&gt;0,ROUND(+C8*F$31,0)," ")</f>
        <v xml:space="preserve"> </v>
      </c>
      <c r="G8" s="96" t="str">
        <f>IF(inputPrYr!E20&gt;0,ROUND(C8*G$32,0)," ")</f>
        <v xml:space="preserve"> </v>
      </c>
      <c r="H8" s="96" t="str">
        <f>IF(inputPrYr!E20&gt;0,ROUND(C8*H$33,0)," ")</f>
        <v xml:space="preserve"> </v>
      </c>
      <c r="I8" s="461"/>
    </row>
    <row r="9" spans="1:9" x14ac:dyDescent="0.2">
      <c r="A9" s="460"/>
      <c r="B9" s="41" t="str">
        <f>IF(inputPrYr!$B21&gt;"  ",(inputPrYr!$B21),"  ")</f>
        <v>Library</v>
      </c>
      <c r="C9" s="96" t="str">
        <f>IF(inputPrYr!$E21&gt;0,(inputPrYr!$E21),"  ")</f>
        <v xml:space="preserve">  </v>
      </c>
      <c r="D9" s="96" t="str">
        <f>IF(inputPrYr!E21&gt;0,ROUND(C9*$D$29,0),"  ")</f>
        <v xml:space="preserve">  </v>
      </c>
      <c r="E9" s="96" t="str">
        <f>IF(inputPrYr!E21&gt;0,ROUND(+C9*E$30,0)," ")</f>
        <v xml:space="preserve"> </v>
      </c>
      <c r="F9" s="96" t="str">
        <f>IF(inputPrYr!E21&gt;0,ROUND(+C9*F$31,0)," ")</f>
        <v xml:space="preserve"> </v>
      </c>
      <c r="G9" s="96" t="str">
        <f>IF(inputPrYr!E21&gt;0,ROUND(C9*G$32,0)," ")</f>
        <v xml:space="preserve"> </v>
      </c>
      <c r="H9" s="96" t="str">
        <f>IF(inputPrYr!E21&gt;0,ROUND(C9*H$33,0)," ")</f>
        <v xml:space="preserve"> </v>
      </c>
      <c r="I9" s="461"/>
    </row>
    <row r="10" spans="1:9" x14ac:dyDescent="0.2">
      <c r="A10" s="460"/>
      <c r="B10" s="41" t="str">
        <f>IF(inputPrYr!$B23&gt;"  ",(inputPrYr!$B23),"  ")</f>
        <v>Bond &amp; Interest</v>
      </c>
      <c r="C10" s="96" t="str">
        <f>IF(inputPrYr!$E23&gt;0,(inputPrYr!$E23),"  ")</f>
        <v xml:space="preserve">  </v>
      </c>
      <c r="D10" s="96" t="str">
        <f>IF(inputPrYr!E23&gt;0,ROUND(C10*$D$29,0),"  ")</f>
        <v xml:space="preserve">  </v>
      </c>
      <c r="E10" s="96" t="str">
        <f>IF(inputPrYr!E23&gt;0,ROUND(+C10*E$30,0)," ")</f>
        <v xml:space="preserve"> </v>
      </c>
      <c r="F10" s="96" t="str">
        <f>IF(inputPrYr!E23&gt;0,ROUND(+C10*F$31,0)," ")</f>
        <v xml:space="preserve"> </v>
      </c>
      <c r="G10" s="96" t="str">
        <f>IF(inputPrYr!E23&gt;0,ROUND(C10*G$32,0)," ")</f>
        <v xml:space="preserve"> </v>
      </c>
      <c r="H10" s="96" t="str">
        <f>IF(inputPrYr!E23&gt;0,ROUND(C10*H$33,0)," ")</f>
        <v xml:space="preserve"> </v>
      </c>
      <c r="I10" s="461"/>
    </row>
    <row r="11" spans="1:9" x14ac:dyDescent="0.2">
      <c r="A11" s="460"/>
      <c r="B11" s="41" t="str">
        <f>IF(inputPrYr!$B24&gt;"  ",(inputPrYr!$B24),"  ")</f>
        <v xml:space="preserve">  </v>
      </c>
      <c r="C11" s="96" t="str">
        <f>IF(inputPrYr!$E24&gt;0,(inputPrYr!$E24),"  ")</f>
        <v xml:space="preserve">  </v>
      </c>
      <c r="D11" s="96" t="str">
        <f>IF(inputPrYr!E24&gt;0,ROUND(C11*$D$29,0),"  ")</f>
        <v xml:space="preserve">  </v>
      </c>
      <c r="E11" s="96" t="str">
        <f>IF(inputPrYr!E24&gt;0,ROUND(+C11*E$30,0)," ")</f>
        <v xml:space="preserve"> </v>
      </c>
      <c r="F11" s="96" t="str">
        <f>IF(inputPrYr!E24&gt;0,ROUND(+C11*F$31,0)," ")</f>
        <v xml:space="preserve"> </v>
      </c>
      <c r="G11" s="96" t="str">
        <f>IF(inputPrYr!E24&gt;0,ROUND(C11*G$32,0)," ")</f>
        <v xml:space="preserve"> </v>
      </c>
      <c r="H11" s="96" t="str">
        <f>IF(inputPrYr!E24&gt;0,ROUND(C11*H$33,0)," ")</f>
        <v xml:space="preserve"> </v>
      </c>
      <c r="I11" s="461"/>
    </row>
    <row r="12" spans="1:9" x14ac:dyDescent="0.2">
      <c r="A12" s="460"/>
      <c r="B12" s="41" t="str">
        <f>IF(inputPrYr!$B25&gt;"  ",(inputPrYr!$B25),"  ")</f>
        <v xml:space="preserve">  </v>
      </c>
      <c r="C12" s="96" t="str">
        <f>IF(inputPrYr!$E25&gt;0,(inputPrYr!$E25),"  ")</f>
        <v xml:space="preserve">  </v>
      </c>
      <c r="D12" s="96" t="str">
        <f>IF(inputPrYr!E25&gt;0,ROUND(C12*$D$29,0),"  ")</f>
        <v xml:space="preserve">  </v>
      </c>
      <c r="E12" s="96" t="str">
        <f>IF(inputPrYr!E25&gt;0,ROUND(+C12*E$30,0)," ")</f>
        <v xml:space="preserve"> </v>
      </c>
      <c r="F12" s="96" t="str">
        <f>IF(inputPrYr!E25&gt;0,ROUND(+C12*F$31,0)," ")</f>
        <v xml:space="preserve"> </v>
      </c>
      <c r="G12" s="96" t="str">
        <f>IF(inputPrYr!E25&gt;0,ROUND(C12*G$32,0)," ")</f>
        <v xml:space="preserve"> </v>
      </c>
      <c r="H12" s="96" t="str">
        <f>IF(inputPrYr!E25&gt;0,ROUND(C12*H$33,0)," ")</f>
        <v xml:space="preserve"> </v>
      </c>
      <c r="I12" s="461"/>
    </row>
    <row r="13" spans="1:9" x14ac:dyDescent="0.2">
      <c r="A13" s="460"/>
      <c r="B13" s="41" t="str">
        <f>IF(inputPrYr!$B26&gt;"  ",(inputPrYr!$B26),"  ")</f>
        <v xml:space="preserve">  </v>
      </c>
      <c r="C13" s="96" t="str">
        <f>IF(inputPrYr!$E26&gt;0,(inputPrYr!$E26),"  ")</f>
        <v xml:space="preserve">  </v>
      </c>
      <c r="D13" s="96" t="str">
        <f>IF(inputPrYr!E26&gt;0,ROUND(C13*$D$29,0),"  ")</f>
        <v xml:space="preserve">  </v>
      </c>
      <c r="E13" s="96" t="str">
        <f>IF(inputPrYr!E26&gt;0,ROUND(+C13*E$30,0)," ")</f>
        <v xml:space="preserve"> </v>
      </c>
      <c r="F13" s="96" t="str">
        <f>IF(inputPrYr!E26&gt;0,ROUND(+C13*F$31,0)," ")</f>
        <v xml:space="preserve"> </v>
      </c>
      <c r="G13" s="96" t="str">
        <f>IF(inputPrYr!E26&gt;0,ROUND(C13*G$32,0)," ")</f>
        <v xml:space="preserve"> </v>
      </c>
      <c r="H13" s="96" t="str">
        <f>IF(inputPrYr!E26&gt;0,ROUND(C13*H$33,0)," ")</f>
        <v xml:space="preserve"> </v>
      </c>
      <c r="I13" s="461"/>
    </row>
    <row r="14" spans="1:9" x14ac:dyDescent="0.2">
      <c r="A14" s="460"/>
      <c r="B14" s="41" t="str">
        <f>IF(inputPrYr!$B27&gt;"  ",(inputPrYr!$B27),"  ")</f>
        <v xml:space="preserve">  </v>
      </c>
      <c r="C14" s="96" t="str">
        <f>IF(inputPrYr!$E27&gt;0,(inputPrYr!$E27),"  ")</f>
        <v xml:space="preserve">  </v>
      </c>
      <c r="D14" s="96" t="str">
        <f>IF(inputPrYr!E27&gt;0,ROUND(C14*$D$29,0),"  ")</f>
        <v xml:space="preserve">  </v>
      </c>
      <c r="E14" s="96" t="str">
        <f>IF(inputPrYr!E27&gt;0,ROUND(+C14*E$30,0)," ")</f>
        <v xml:space="preserve"> </v>
      </c>
      <c r="F14" s="96" t="str">
        <f>IF(inputPrYr!E27&gt;0,ROUND(+C14*F$31,0)," ")</f>
        <v xml:space="preserve"> </v>
      </c>
      <c r="G14" s="96" t="str">
        <f>IF(inputPrYr!E27&gt;0,ROUND(C14*G$32,0)," ")</f>
        <v xml:space="preserve"> </v>
      </c>
      <c r="H14" s="96" t="str">
        <f>IF(inputPrYr!E27&gt;0,ROUND(C14*H$33,0)," ")</f>
        <v xml:space="preserve"> </v>
      </c>
      <c r="I14" s="461"/>
    </row>
    <row r="15" spans="1:9" x14ac:dyDescent="0.2">
      <c r="A15" s="460"/>
      <c r="B15" s="41" t="str">
        <f>IF(inputPrYr!$B28&gt;"  ",(inputPrYr!$B28),"  ")</f>
        <v xml:space="preserve">  </v>
      </c>
      <c r="C15" s="96" t="str">
        <f>IF(inputPrYr!$E28&gt;0,(inputPrYr!$E28),"  ")</f>
        <v xml:space="preserve">  </v>
      </c>
      <c r="D15" s="96" t="str">
        <f>IF(inputPrYr!E28&gt;0,ROUND(C15*$D$29,0),"  ")</f>
        <v xml:space="preserve">  </v>
      </c>
      <c r="E15" s="96" t="str">
        <f>IF(inputPrYr!E28&gt;0,ROUND(+C15*E$30,0)," ")</f>
        <v xml:space="preserve"> </v>
      </c>
      <c r="F15" s="96" t="str">
        <f>IF(inputPrYr!E28&gt;0,ROUND(+C15*F$31,0)," ")</f>
        <v xml:space="preserve"> </v>
      </c>
      <c r="G15" s="96" t="str">
        <f>IF(inputPrYr!E28&gt;0,ROUND(C15*G$32,0)," ")</f>
        <v xml:space="preserve"> </v>
      </c>
      <c r="H15" s="96" t="str">
        <f>IF(inputPrYr!E28&gt;0,ROUND(C15*H$33,0)," ")</f>
        <v xml:space="preserve"> </v>
      </c>
      <c r="I15" s="461"/>
    </row>
    <row r="16" spans="1:9" x14ac:dyDescent="0.2">
      <c r="A16" s="460"/>
      <c r="B16" s="41" t="str">
        <f>IF(inputPrYr!$B29&gt;"  ",(inputPrYr!$B29),"  ")</f>
        <v xml:space="preserve">  </v>
      </c>
      <c r="C16" s="96" t="str">
        <f>IF(inputPrYr!$E29&gt;0,(inputPrYr!$E29),"  ")</f>
        <v xml:space="preserve">  </v>
      </c>
      <c r="D16" s="96" t="str">
        <f>IF(inputPrYr!E29&gt;0,ROUND(C16*$D$29,0),"  ")</f>
        <v xml:space="preserve">  </v>
      </c>
      <c r="E16" s="96" t="str">
        <f>IF(inputPrYr!E29&gt;0,ROUND(+C16*E$30,0)," ")</f>
        <v xml:space="preserve"> </v>
      </c>
      <c r="F16" s="96" t="str">
        <f>IF(inputPrYr!E29&gt;0,ROUND(+C16*F$31,0)," ")</f>
        <v xml:space="preserve"> </v>
      </c>
      <c r="G16" s="96" t="str">
        <f>IF(inputPrYr!E29&gt;0,ROUND(C16*G$32,0)," ")</f>
        <v xml:space="preserve"> </v>
      </c>
      <c r="H16" s="96" t="str">
        <f>IF(inputPrYr!E29&gt;0,ROUND(C16*H$33,0)," ")</f>
        <v xml:space="preserve"> </v>
      </c>
      <c r="I16" s="461"/>
    </row>
    <row r="17" spans="1:9" x14ac:dyDescent="0.2">
      <c r="A17" s="460"/>
      <c r="B17" s="41" t="str">
        <f>IF(inputPrYr!$B30&gt;"  ",(inputPrYr!$B30),"  ")</f>
        <v xml:space="preserve">  </v>
      </c>
      <c r="C17" s="96" t="str">
        <f>IF(inputPrYr!$E30&gt;0,(inputPrYr!$E30),"  ")</f>
        <v xml:space="preserve">  </v>
      </c>
      <c r="D17" s="96" t="str">
        <f>IF(inputPrYr!E30&gt;0,ROUND(C17*$D$29,0),"  ")</f>
        <v xml:space="preserve">  </v>
      </c>
      <c r="E17" s="96" t="str">
        <f>IF(inputPrYr!E30&gt;0,ROUND(+C17*E$30,0)," ")</f>
        <v xml:space="preserve"> </v>
      </c>
      <c r="F17" s="96" t="str">
        <f>IF(inputPrYr!E30&gt;0,ROUND(+C17*F$31,0)," ")</f>
        <v xml:space="preserve"> </v>
      </c>
      <c r="G17" s="96" t="str">
        <f>IF(inputPrYr!E30&gt;0,ROUND(C17*G$32,0)," ")</f>
        <v xml:space="preserve"> </v>
      </c>
      <c r="H17" s="96" t="str">
        <f>IF(inputPrYr!E30&gt;0,ROUND(C17*H$33,0)," ")</f>
        <v xml:space="preserve"> </v>
      </c>
      <c r="I17" s="461"/>
    </row>
    <row r="18" spans="1:9" x14ac:dyDescent="0.2">
      <c r="A18" s="460"/>
      <c r="B18" s="41" t="str">
        <f>IF(inputPrYr!$B31&gt;"  ",(inputPrYr!$B31),"  ")</f>
        <v xml:space="preserve">  </v>
      </c>
      <c r="C18" s="96" t="str">
        <f>IF(inputPrYr!$E31&gt;0,(inputPrYr!$E31),"  ")</f>
        <v xml:space="preserve">  </v>
      </c>
      <c r="D18" s="96" t="str">
        <f>IF(inputPrYr!E31&gt;0,ROUND(C18*$D$29,0),"  ")</f>
        <v xml:space="preserve">  </v>
      </c>
      <c r="E18" s="96" t="str">
        <f>IF(inputPrYr!E31&gt;0,ROUND(+C18*E$30,0)," ")</f>
        <v xml:space="preserve"> </v>
      </c>
      <c r="F18" s="96" t="str">
        <f>IF(inputPrYr!E31&gt;0,ROUND(+C18*F$31,0)," ")</f>
        <v xml:space="preserve"> </v>
      </c>
      <c r="G18" s="96" t="str">
        <f>IF(inputPrYr!E31&gt;0,ROUND(C18*G$32,0)," ")</f>
        <v xml:space="preserve"> </v>
      </c>
      <c r="H18" s="96" t="str">
        <f>IF(inputPrYr!E31&gt;0,ROUND(C18*H$33,0)," ")</f>
        <v xml:space="preserve"> </v>
      </c>
      <c r="I18" s="461"/>
    </row>
    <row r="19" spans="1:9" x14ac:dyDescent="0.2">
      <c r="A19" s="460"/>
      <c r="B19" s="41" t="str">
        <f>IF(inputPrYr!$B32&gt;"  ",(inputPrYr!$B32),"  ")</f>
        <v xml:space="preserve">  </v>
      </c>
      <c r="C19" s="96" t="str">
        <f>IF(inputPrYr!$E32&gt;0,(inputPrYr!$E32),"  ")</f>
        <v xml:space="preserve">  </v>
      </c>
      <c r="D19" s="96" t="str">
        <f>IF(inputPrYr!E32&gt;0,ROUND(C19*$D$29,0),"  ")</f>
        <v xml:space="preserve">  </v>
      </c>
      <c r="E19" s="96" t="str">
        <f>IF(inputPrYr!E32&gt;0,ROUND(+C19*E$30,0)," ")</f>
        <v xml:space="preserve"> </v>
      </c>
      <c r="F19" s="96" t="str">
        <f>IF(inputPrYr!E32&gt;0,ROUND(+C19*F$31,0)," ")</f>
        <v xml:space="preserve"> </v>
      </c>
      <c r="G19" s="96" t="str">
        <f>IF(inputPrYr!E32&gt;0,ROUND(C19*G$32,0)," ")</f>
        <v xml:space="preserve"> </v>
      </c>
      <c r="H19" s="96" t="str">
        <f>IF(inputPrYr!E32&gt;0,ROUND(C19*H$33,0)," ")</f>
        <v xml:space="preserve"> </v>
      </c>
      <c r="I19" s="461"/>
    </row>
    <row r="20" spans="1:9" x14ac:dyDescent="0.2">
      <c r="A20" s="460"/>
      <c r="B20" s="462" t="s">
        <v>16</v>
      </c>
      <c r="C20" s="102">
        <f t="shared" ref="C20:H20" si="0">SUM(C7:C19)</f>
        <v>244504</v>
      </c>
      <c r="D20" s="102">
        <f t="shared" si="0"/>
        <v>30257</v>
      </c>
      <c r="E20" s="102">
        <f t="shared" si="0"/>
        <v>373</v>
      </c>
      <c r="F20" s="102">
        <f t="shared" si="0"/>
        <v>67</v>
      </c>
      <c r="G20" s="102">
        <f t="shared" si="0"/>
        <v>823</v>
      </c>
      <c r="H20" s="102">
        <f t="shared" si="0"/>
        <v>0</v>
      </c>
      <c r="I20" s="461"/>
    </row>
    <row r="21" spans="1:9" x14ac:dyDescent="0.2">
      <c r="A21" s="460"/>
      <c r="B21" s="6"/>
      <c r="C21" s="6"/>
      <c r="D21" s="6"/>
      <c r="E21" s="6"/>
      <c r="F21" s="6"/>
      <c r="G21" s="6"/>
      <c r="H21" s="6"/>
      <c r="I21" s="6"/>
    </row>
    <row r="22" spans="1:9" x14ac:dyDescent="0.2">
      <c r="A22" s="460"/>
      <c r="B22" s="9" t="s">
        <v>17</v>
      </c>
      <c r="C22" s="117"/>
      <c r="D22" s="118">
        <f>(inputOth!E42)</f>
        <v>30257</v>
      </c>
      <c r="E22" s="117"/>
      <c r="F22" s="6"/>
      <c r="G22" s="6"/>
      <c r="H22" s="6"/>
      <c r="I22" s="6"/>
    </row>
    <row r="23" spans="1:9" x14ac:dyDescent="0.2">
      <c r="A23" s="460"/>
      <c r="B23" s="9" t="s">
        <v>811</v>
      </c>
      <c r="C23" s="6"/>
      <c r="D23" s="6"/>
      <c r="E23" s="118">
        <f>(inputOth!E43)</f>
        <v>373</v>
      </c>
      <c r="F23" s="6"/>
      <c r="G23" s="6"/>
      <c r="H23" s="6"/>
      <c r="I23" s="6"/>
    </row>
    <row r="24" spans="1:9" x14ac:dyDescent="0.2">
      <c r="A24" s="460"/>
      <c r="B24" s="9" t="s">
        <v>812</v>
      </c>
      <c r="C24" s="6"/>
      <c r="D24" s="6"/>
      <c r="E24" s="6"/>
      <c r="F24" s="118">
        <f>inputOth!E44</f>
        <v>67</v>
      </c>
      <c r="G24" s="309"/>
      <c r="H24" s="309"/>
      <c r="I24" s="6"/>
    </row>
    <row r="25" spans="1:9" x14ac:dyDescent="0.2">
      <c r="A25" s="460"/>
      <c r="B25" s="635" t="s">
        <v>813</v>
      </c>
      <c r="C25" s="635"/>
      <c r="D25" s="6"/>
      <c r="E25" s="6"/>
      <c r="F25" s="309"/>
      <c r="G25" s="118">
        <f>inputOth!E45</f>
        <v>823</v>
      </c>
      <c r="H25" s="309"/>
      <c r="I25" s="6"/>
    </row>
    <row r="26" spans="1:9" x14ac:dyDescent="0.2">
      <c r="A26" s="460"/>
      <c r="B26" s="635" t="s">
        <v>814</v>
      </c>
      <c r="C26" s="6"/>
      <c r="D26" s="6"/>
      <c r="E26" s="6"/>
      <c r="F26" s="309"/>
      <c r="G26" s="309"/>
      <c r="H26" s="118">
        <f>inputOth!E46</f>
        <v>0</v>
      </c>
      <c r="I26" s="6"/>
    </row>
    <row r="27" spans="1:9" x14ac:dyDescent="0.2">
      <c r="A27" s="460"/>
      <c r="B27" s="642"/>
      <c r="C27" s="640"/>
      <c r="D27" s="640"/>
      <c r="E27" s="640"/>
      <c r="F27" s="643"/>
      <c r="G27" s="643"/>
      <c r="H27" s="643"/>
      <c r="I27" s="34"/>
    </row>
    <row r="28" spans="1:9" x14ac:dyDescent="0.2">
      <c r="A28" s="460"/>
      <c r="B28" s="644"/>
      <c r="C28" s="641"/>
      <c r="D28" s="641"/>
      <c r="E28" s="641"/>
      <c r="F28" s="643"/>
      <c r="G28" s="643"/>
      <c r="H28" s="643"/>
      <c r="I28" s="6"/>
    </row>
    <row r="29" spans="1:9" x14ac:dyDescent="0.2">
      <c r="A29" s="460"/>
      <c r="B29" s="644" t="s">
        <v>18</v>
      </c>
      <c r="C29" s="641"/>
      <c r="D29" s="637">
        <f>IF(C20=0,0,D22/C20)</f>
        <v>0.1237484867323234</v>
      </c>
      <c r="E29" s="641"/>
      <c r="F29" s="641"/>
      <c r="G29" s="641"/>
      <c r="H29" s="641"/>
      <c r="I29" s="6"/>
    </row>
    <row r="30" spans="1:9" x14ac:dyDescent="0.2">
      <c r="A30" s="460"/>
      <c r="B30" s="641"/>
      <c r="C30" s="644" t="s">
        <v>19</v>
      </c>
      <c r="D30" s="641"/>
      <c r="E30" s="637">
        <f>IF(C20=0,0,E23/C20)</f>
        <v>1.5255374145208259E-3</v>
      </c>
      <c r="F30" s="641"/>
      <c r="G30" s="641"/>
      <c r="H30" s="641"/>
      <c r="I30" s="6"/>
    </row>
    <row r="31" spans="1:9" x14ac:dyDescent="0.2">
      <c r="A31" s="460"/>
      <c r="B31" s="641"/>
      <c r="C31" s="641"/>
      <c r="D31" s="644" t="s">
        <v>90</v>
      </c>
      <c r="E31" s="641"/>
      <c r="F31" s="637">
        <f>IF(F24=0,0,F24/C20)</f>
        <v>2.740241468442234E-4</v>
      </c>
      <c r="G31" s="638"/>
      <c r="H31" s="638"/>
      <c r="I31" s="6"/>
    </row>
    <row r="32" spans="1:9" x14ac:dyDescent="0.2">
      <c r="A32" s="460"/>
      <c r="B32" s="641"/>
      <c r="C32" s="641"/>
      <c r="D32" s="644"/>
      <c r="E32" s="639" t="s">
        <v>815</v>
      </c>
      <c r="F32" s="638"/>
      <c r="G32" s="637">
        <f>IF(G25=0,0,G25/C20)</f>
        <v>3.3659981022805354E-3</v>
      </c>
      <c r="H32" s="638"/>
      <c r="I32" s="6"/>
    </row>
    <row r="33" spans="1:9" x14ac:dyDescent="0.2">
      <c r="A33" s="460"/>
      <c r="B33" s="641"/>
      <c r="C33" s="641"/>
      <c r="D33" s="644"/>
      <c r="E33" s="641"/>
      <c r="F33" s="639" t="s">
        <v>816</v>
      </c>
      <c r="G33" s="638"/>
      <c r="H33" s="637">
        <f>IF(H26=0,0,H26/C20)</f>
        <v>0</v>
      </c>
      <c r="I33" s="6"/>
    </row>
    <row r="34" spans="1:9" x14ac:dyDescent="0.2">
      <c r="A34" s="460"/>
      <c r="B34" s="641"/>
      <c r="C34" s="641"/>
      <c r="D34" s="644"/>
      <c r="E34" s="641"/>
      <c r="F34" s="638"/>
      <c r="G34" s="638"/>
      <c r="H34" s="638"/>
      <c r="I34" s="6"/>
    </row>
    <row r="35" spans="1:9" x14ac:dyDescent="0.2">
      <c r="A35" s="460"/>
      <c r="B35" s="641"/>
      <c r="C35" s="641"/>
      <c r="D35" s="644"/>
      <c r="E35" s="641"/>
      <c r="F35" s="638"/>
      <c r="G35" s="638"/>
      <c r="H35" s="638"/>
      <c r="I35" s="6"/>
    </row>
    <row r="36" spans="1:9" ht="15" customHeight="1" x14ac:dyDescent="0.2"/>
    <row r="37" spans="1:9" s="119" customFormat="1" ht="15" customHeight="1" x14ac:dyDescent="0.2"/>
    <row r="38" spans="1:9" ht="15" customHeight="1" x14ac:dyDescent="0.2"/>
    <row r="39" spans="1:9" ht="15" customHeight="1" x14ac:dyDescent="0.2"/>
    <row r="40" spans="1:9" ht="15" customHeight="1" x14ac:dyDescent="0.2"/>
    <row r="41" spans="1:9" ht="15" customHeight="1" x14ac:dyDescent="0.2"/>
    <row r="42" spans="1:9" ht="15" customHeight="1" x14ac:dyDescent="0.2"/>
    <row r="43" spans="1:9" ht="15" customHeight="1" x14ac:dyDescent="0.2"/>
    <row r="44" spans="1:9" ht="15" customHeight="1" x14ac:dyDescent="0.2"/>
    <row r="45" spans="1:9" ht="15" customHeight="1" x14ac:dyDescent="0.2"/>
    <row r="46" spans="1:9" ht="15" customHeight="1" x14ac:dyDescent="0.2"/>
    <row r="47" spans="1:9" ht="15" customHeight="1" x14ac:dyDescent="0.2"/>
    <row r="48" spans="1:9" ht="15" customHeight="1" x14ac:dyDescent="0.2"/>
    <row r="49" ht="15" customHeight="1" x14ac:dyDescent="0.2"/>
    <row r="50" ht="15" customHeight="1" x14ac:dyDescent="0.2"/>
  </sheetData>
  <sheetProtection sheet="1" objects="1" scenarios="1"/>
  <mergeCells count="2">
    <mergeCell ref="D5:H5"/>
    <mergeCell ref="A3:I3"/>
  </mergeCells>
  <phoneticPr fontId="0" type="noConversion"/>
  <pageMargins left="0.5" right="0.5" top="0.5" bottom="0" header="0.25" footer="0"/>
  <pageSetup scale="75" orientation="portrait" blackAndWhite="1" horizontalDpi="120" verticalDpi="144" r:id="rId1"/>
  <headerFooter alignWithMargins="0">
    <oddHeader xml:space="preserve">&amp;RState of Kansas
City
</oddHeader>
    <oddFooter xml:space="preserve">&amp;CPage No. 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00B0F0"/>
    <pageSetUpPr fitToPage="1"/>
  </sheetPr>
  <dimension ref="A1:F32"/>
  <sheetViews>
    <sheetView topLeftCell="A4" workbookViewId="0">
      <selection activeCell="F17" sqref="F17"/>
    </sheetView>
  </sheetViews>
  <sheetFormatPr defaultRowHeight="15.75" x14ac:dyDescent="0.2"/>
  <cols>
    <col min="1" max="2" width="17.77734375" style="2" customWidth="1"/>
    <col min="3" max="6" width="12.77734375" style="2" customWidth="1"/>
    <col min="7" max="16384" width="8.88671875" style="2"/>
  </cols>
  <sheetData>
    <row r="1" spans="1:6" x14ac:dyDescent="0.2">
      <c r="A1" s="55" t="str">
        <f>inputPrYr!D3</f>
        <v>Valley Falls</v>
      </c>
      <c r="B1" s="55"/>
      <c r="C1" s="57"/>
      <c r="D1" s="57"/>
      <c r="E1" s="57"/>
      <c r="F1" s="57">
        <f>inputPrYr!$C$6</f>
        <v>2023</v>
      </c>
    </row>
    <row r="2" spans="1:6" x14ac:dyDescent="0.2">
      <c r="A2" s="57"/>
      <c r="B2" s="57"/>
      <c r="C2" s="57"/>
      <c r="D2" s="57"/>
      <c r="E2" s="57"/>
      <c r="F2" s="57"/>
    </row>
    <row r="3" spans="1:6" x14ac:dyDescent="0.2">
      <c r="A3" s="861" t="s">
        <v>103</v>
      </c>
      <c r="B3" s="861"/>
      <c r="C3" s="861"/>
      <c r="D3" s="861"/>
      <c r="E3" s="861"/>
      <c r="F3" s="861"/>
    </row>
    <row r="4" spans="1:6" x14ac:dyDescent="0.2">
      <c r="A4" s="120"/>
      <c r="B4" s="120"/>
      <c r="C4" s="120"/>
      <c r="D4" s="120"/>
      <c r="E4" s="120"/>
      <c r="F4" s="120"/>
    </row>
    <row r="5" spans="1:6" x14ac:dyDescent="0.2">
      <c r="A5" s="121" t="s">
        <v>504</v>
      </c>
      <c r="B5" s="121" t="s">
        <v>506</v>
      </c>
      <c r="C5" s="121" t="s">
        <v>41</v>
      </c>
      <c r="D5" s="121" t="s">
        <v>108</v>
      </c>
      <c r="E5" s="121" t="s">
        <v>109</v>
      </c>
      <c r="F5" s="121" t="s">
        <v>146</v>
      </c>
    </row>
    <row r="6" spans="1:6" x14ac:dyDescent="0.2">
      <c r="A6" s="122" t="s">
        <v>505</v>
      </c>
      <c r="B6" s="122" t="s">
        <v>507</v>
      </c>
      <c r="C6" s="122" t="s">
        <v>147</v>
      </c>
      <c r="D6" s="122" t="s">
        <v>147</v>
      </c>
      <c r="E6" s="122" t="s">
        <v>147</v>
      </c>
      <c r="F6" s="122" t="s">
        <v>148</v>
      </c>
    </row>
    <row r="7" spans="1:6" ht="15" customHeight="1" x14ac:dyDescent="0.2">
      <c r="A7" s="123" t="s">
        <v>149</v>
      </c>
      <c r="B7" s="123" t="s">
        <v>150</v>
      </c>
      <c r="C7" s="124">
        <f>F1-2</f>
        <v>2021</v>
      </c>
      <c r="D7" s="124">
        <f>F1-1</f>
        <v>2022</v>
      </c>
      <c r="E7" s="124">
        <f>F1</f>
        <v>2023</v>
      </c>
      <c r="F7" s="123" t="s">
        <v>151</v>
      </c>
    </row>
    <row r="8" spans="1:6" ht="14.25" customHeight="1" x14ac:dyDescent="0.2">
      <c r="A8" s="125" t="s">
        <v>1065</v>
      </c>
      <c r="B8" s="125" t="s">
        <v>1067</v>
      </c>
      <c r="C8" s="429">
        <v>0</v>
      </c>
      <c r="D8" s="429">
        <v>10000</v>
      </c>
      <c r="E8" s="429">
        <v>15000</v>
      </c>
      <c r="F8" s="125" t="s">
        <v>1069</v>
      </c>
    </row>
    <row r="9" spans="1:6" ht="15" customHeight="1" x14ac:dyDescent="0.2">
      <c r="A9" s="126" t="s">
        <v>1065</v>
      </c>
      <c r="B9" s="126" t="s">
        <v>1057</v>
      </c>
      <c r="C9" s="430">
        <v>0</v>
      </c>
      <c r="D9" s="430">
        <v>0</v>
      </c>
      <c r="E9" s="430">
        <v>50000</v>
      </c>
      <c r="F9" s="125" t="s">
        <v>1069</v>
      </c>
    </row>
    <row r="10" spans="1:6" ht="15" customHeight="1" x14ac:dyDescent="0.2">
      <c r="A10" s="126" t="s">
        <v>1065</v>
      </c>
      <c r="B10" s="126" t="s">
        <v>1068</v>
      </c>
      <c r="C10" s="430">
        <v>0</v>
      </c>
      <c r="D10" s="430">
        <v>0</v>
      </c>
      <c r="E10" s="430">
        <v>25000</v>
      </c>
      <c r="F10" s="125" t="s">
        <v>1070</v>
      </c>
    </row>
    <row r="11" spans="1:6" ht="15" customHeight="1" x14ac:dyDescent="0.2">
      <c r="A11" s="126" t="s">
        <v>1065</v>
      </c>
      <c r="B11" s="126" t="s">
        <v>1048</v>
      </c>
      <c r="C11" s="430">
        <v>0</v>
      </c>
      <c r="D11" s="430">
        <v>0</v>
      </c>
      <c r="E11" s="430">
        <v>30000</v>
      </c>
      <c r="F11" s="125" t="s">
        <v>1069</v>
      </c>
    </row>
    <row r="12" spans="1:6" ht="15" customHeight="1" x14ac:dyDescent="0.2">
      <c r="A12" s="126" t="s">
        <v>1066</v>
      </c>
      <c r="B12" s="126" t="s">
        <v>1067</v>
      </c>
      <c r="C12" s="430">
        <v>0</v>
      </c>
      <c r="D12" s="430">
        <v>10000</v>
      </c>
      <c r="E12" s="430">
        <v>15000</v>
      </c>
      <c r="F12" s="125" t="s">
        <v>1069</v>
      </c>
    </row>
    <row r="13" spans="1:6" ht="15" customHeight="1" x14ac:dyDescent="0.2">
      <c r="A13" s="126" t="s">
        <v>1066</v>
      </c>
      <c r="B13" s="126" t="s">
        <v>1056</v>
      </c>
      <c r="C13" s="430">
        <v>0</v>
      </c>
      <c r="D13" s="430">
        <v>0</v>
      </c>
      <c r="E13" s="430">
        <v>50000</v>
      </c>
      <c r="F13" s="125" t="s">
        <v>1069</v>
      </c>
    </row>
    <row r="14" spans="1:6" ht="15" customHeight="1" x14ac:dyDescent="0.2">
      <c r="A14" s="126" t="s">
        <v>1066</v>
      </c>
      <c r="B14" s="126" t="s">
        <v>1068</v>
      </c>
      <c r="C14" s="430">
        <v>0</v>
      </c>
      <c r="D14" s="430">
        <v>0</v>
      </c>
      <c r="E14" s="430">
        <v>25000</v>
      </c>
      <c r="F14" s="125" t="s">
        <v>1070</v>
      </c>
    </row>
    <row r="15" spans="1:6" ht="15" customHeight="1" x14ac:dyDescent="0.2">
      <c r="A15" s="126" t="s">
        <v>1067</v>
      </c>
      <c r="B15" s="126" t="s">
        <v>1068</v>
      </c>
      <c r="C15" s="430">
        <v>25000</v>
      </c>
      <c r="D15" s="430">
        <v>25000</v>
      </c>
      <c r="E15" s="430">
        <v>10000</v>
      </c>
      <c r="F15" s="125" t="s">
        <v>1070</v>
      </c>
    </row>
    <row r="16" spans="1:6" ht="15" customHeight="1" x14ac:dyDescent="0.2">
      <c r="A16" s="126" t="s">
        <v>1067</v>
      </c>
      <c r="B16" s="126" t="s">
        <v>1053</v>
      </c>
      <c r="C16" s="430">
        <v>0</v>
      </c>
      <c r="D16" s="430">
        <v>0</v>
      </c>
      <c r="E16" s="430">
        <v>25000</v>
      </c>
      <c r="F16" s="125" t="s">
        <v>1071</v>
      </c>
    </row>
    <row r="17" spans="1:6" ht="15" customHeight="1" x14ac:dyDescent="0.2">
      <c r="A17" s="126"/>
      <c r="B17" s="126"/>
      <c r="C17" s="430"/>
      <c r="D17" s="430"/>
      <c r="E17" s="430"/>
      <c r="F17" s="126"/>
    </row>
    <row r="18" spans="1:6" ht="15" customHeight="1" x14ac:dyDescent="0.2">
      <c r="A18" s="126"/>
      <c r="B18" s="126"/>
      <c r="C18" s="430"/>
      <c r="D18" s="430"/>
      <c r="E18" s="430"/>
      <c r="F18" s="126"/>
    </row>
    <row r="19" spans="1:6" ht="15" customHeight="1" x14ac:dyDescent="0.2">
      <c r="A19" s="126"/>
      <c r="B19" s="126"/>
      <c r="C19" s="430"/>
      <c r="D19" s="430"/>
      <c r="E19" s="430"/>
      <c r="F19" s="126"/>
    </row>
    <row r="20" spans="1:6" ht="15" customHeight="1" x14ac:dyDescent="0.2">
      <c r="A20" s="126"/>
      <c r="B20" s="126"/>
      <c r="C20" s="430"/>
      <c r="D20" s="430"/>
      <c r="E20" s="430"/>
      <c r="F20" s="126"/>
    </row>
    <row r="21" spans="1:6" ht="15" customHeight="1" x14ac:dyDescent="0.2">
      <c r="A21" s="126"/>
      <c r="B21" s="126"/>
      <c r="C21" s="430"/>
      <c r="D21" s="430"/>
      <c r="E21" s="430"/>
      <c r="F21" s="126"/>
    </row>
    <row r="22" spans="1:6" ht="15" customHeight="1" x14ac:dyDescent="0.2">
      <c r="A22" s="126"/>
      <c r="B22" s="126"/>
      <c r="C22" s="430"/>
      <c r="D22" s="430"/>
      <c r="E22" s="430"/>
      <c r="F22" s="126"/>
    </row>
    <row r="23" spans="1:6" ht="15" customHeight="1" x14ac:dyDescent="0.2">
      <c r="A23" s="126"/>
      <c r="B23" s="126"/>
      <c r="C23" s="430"/>
      <c r="D23" s="430"/>
      <c r="E23" s="430"/>
      <c r="F23" s="126"/>
    </row>
    <row r="24" spans="1:6" ht="15" customHeight="1" x14ac:dyDescent="0.2">
      <c r="A24" s="126"/>
      <c r="B24" s="126"/>
      <c r="C24" s="430"/>
      <c r="D24" s="430"/>
      <c r="E24" s="430"/>
      <c r="F24" s="126"/>
    </row>
    <row r="25" spans="1:6" ht="15" customHeight="1" x14ac:dyDescent="0.2">
      <c r="A25" s="126"/>
      <c r="B25" s="126"/>
      <c r="C25" s="430"/>
      <c r="D25" s="430"/>
      <c r="E25" s="430"/>
      <c r="F25" s="126"/>
    </row>
    <row r="26" spans="1:6" ht="15" customHeight="1" x14ac:dyDescent="0.2">
      <c r="A26" s="127"/>
      <c r="B26" s="128" t="s">
        <v>9</v>
      </c>
      <c r="C26" s="428">
        <f>SUM(C8:C25)</f>
        <v>25000</v>
      </c>
      <c r="D26" s="428">
        <f>SUM(D8:D25)</f>
        <v>45000</v>
      </c>
      <c r="E26" s="428">
        <f>SUM(E8:E25)</f>
        <v>245000</v>
      </c>
      <c r="F26" s="127"/>
    </row>
    <row r="27" spans="1:6" ht="15" customHeight="1" x14ac:dyDescent="0.2">
      <c r="A27" s="127"/>
      <c r="B27" s="130" t="s">
        <v>508</v>
      </c>
      <c r="C27" s="101"/>
      <c r="D27" s="126"/>
      <c r="E27" s="126"/>
      <c r="F27" s="127"/>
    </row>
    <row r="28" spans="1:6" ht="15" customHeight="1" x14ac:dyDescent="0.2">
      <c r="A28" s="127"/>
      <c r="B28" s="128" t="s">
        <v>152</v>
      </c>
      <c r="C28" s="428">
        <f>C26</f>
        <v>25000</v>
      </c>
      <c r="D28" s="428">
        <f>SUM(D26-D27)</f>
        <v>45000</v>
      </c>
      <c r="E28" s="428">
        <f>SUM(E26-E27)</f>
        <v>245000</v>
      </c>
      <c r="F28" s="127"/>
    </row>
    <row r="29" spans="1:6" ht="15" customHeight="1" x14ac:dyDescent="0.2">
      <c r="A29" s="49"/>
      <c r="B29" s="49"/>
      <c r="C29" s="49"/>
      <c r="D29" s="49"/>
      <c r="E29" s="49"/>
      <c r="F29" s="49"/>
    </row>
    <row r="30" spans="1:6" ht="15" customHeight="1" x14ac:dyDescent="0.2">
      <c r="A30" s="49"/>
      <c r="B30" s="49"/>
      <c r="C30" s="49"/>
      <c r="D30" s="49"/>
      <c r="E30" s="49"/>
      <c r="F30" s="49"/>
    </row>
    <row r="31" spans="1:6" ht="21.75" customHeight="1" x14ac:dyDescent="0.2">
      <c r="A31" s="278" t="s">
        <v>503</v>
      </c>
      <c r="B31" s="279" t="str">
        <f>CONCATENATE("Adjustments are required only if the transfer is being made in ",D7," and/or ",E7," from a non-budgeted fund.")</f>
        <v>Adjustments are required only if the transfer is being made in 2022 and/or 2023 from a non-budgeted fund.</v>
      </c>
      <c r="C31" s="49"/>
      <c r="D31" s="49"/>
      <c r="E31" s="49"/>
      <c r="F31" s="49"/>
    </row>
    <row r="32" spans="1:6" ht="15" customHeight="1" x14ac:dyDescent="0.2"/>
  </sheetData>
  <sheetProtection sheet="1"/>
  <mergeCells count="1">
    <mergeCell ref="A3:F3"/>
  </mergeCells>
  <phoneticPr fontId="9" type="noConversion"/>
  <pageMargins left="1" right="1" top="1" bottom="1" header="0.5" footer="0.5"/>
  <pageSetup scale="72" orientation="portrait" blackAndWhite="1" r:id="rId1"/>
  <headerFooter alignWithMargins="0">
    <oddHeader>&amp;RState of Kansans
City</oddHeader>
    <oddFooter>&amp;CPage No. 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A68"/>
  <sheetViews>
    <sheetView workbookViewId="0">
      <selection activeCell="I27" sqref="I27"/>
    </sheetView>
  </sheetViews>
  <sheetFormatPr defaultRowHeight="15" x14ac:dyDescent="0.2"/>
  <cols>
    <col min="1" max="1" width="70.5546875" style="260" customWidth="1"/>
    <col min="2" max="16384" width="8.88671875" style="260"/>
  </cols>
  <sheetData>
    <row r="1" spans="1:1" ht="18.75" x14ac:dyDescent="0.2">
      <c r="A1" s="262" t="s">
        <v>260</v>
      </c>
    </row>
    <row r="2" spans="1:1" ht="18.75" x14ac:dyDescent="0.2">
      <c r="A2" s="262"/>
    </row>
    <row r="3" spans="1:1" ht="18.75" x14ac:dyDescent="0.2">
      <c r="A3" s="262"/>
    </row>
    <row r="4" spans="1:1" ht="51.75" customHeight="1" x14ac:dyDescent="0.25">
      <c r="A4" s="389" t="s">
        <v>611</v>
      </c>
    </row>
    <row r="5" spans="1:1" ht="18.75" x14ac:dyDescent="0.2">
      <c r="A5" s="262"/>
    </row>
    <row r="6" spans="1:1" ht="15.75" x14ac:dyDescent="0.2">
      <c r="A6" s="263"/>
    </row>
    <row r="7" spans="1:1" ht="47.25" x14ac:dyDescent="0.2">
      <c r="A7" s="264" t="s">
        <v>261</v>
      </c>
    </row>
    <row r="8" spans="1:1" ht="15.75" x14ac:dyDescent="0.2">
      <c r="A8" s="263"/>
    </row>
    <row r="9" spans="1:1" ht="15.75" x14ac:dyDescent="0.2">
      <c r="A9" s="263"/>
    </row>
    <row r="10" spans="1:1" ht="63" x14ac:dyDescent="0.2">
      <c r="A10" s="264" t="s">
        <v>262</v>
      </c>
    </row>
    <row r="11" spans="1:1" ht="15.75" x14ac:dyDescent="0.2">
      <c r="A11" s="390"/>
    </row>
    <row r="12" spans="1:1" ht="15.75" x14ac:dyDescent="0.2">
      <c r="A12" s="263"/>
    </row>
    <row r="13" spans="1:1" ht="47.25" x14ac:dyDescent="0.2">
      <c r="A13" s="264" t="s">
        <v>263</v>
      </c>
    </row>
    <row r="14" spans="1:1" ht="15.75" x14ac:dyDescent="0.2">
      <c r="A14" s="390"/>
    </row>
    <row r="15" spans="1:1" ht="15.75" x14ac:dyDescent="0.2">
      <c r="A15" s="263"/>
    </row>
    <row r="16" spans="1:1" ht="47.25" x14ac:dyDescent="0.2">
      <c r="A16" s="264" t="s">
        <v>264</v>
      </c>
    </row>
    <row r="17" spans="1:1" ht="15.75" x14ac:dyDescent="0.2">
      <c r="A17" s="390"/>
    </row>
    <row r="18" spans="1:1" ht="15.75" x14ac:dyDescent="0.2">
      <c r="A18" s="390"/>
    </row>
    <row r="19" spans="1:1" ht="47.25" x14ac:dyDescent="0.2">
      <c r="A19" s="264" t="s">
        <v>265</v>
      </c>
    </row>
    <row r="20" spans="1:1" ht="15.75" x14ac:dyDescent="0.2">
      <c r="A20" s="390"/>
    </row>
    <row r="21" spans="1:1" ht="15.75" x14ac:dyDescent="0.2">
      <c r="A21" s="390"/>
    </row>
    <row r="22" spans="1:1" ht="47.25" x14ac:dyDescent="0.2">
      <c r="A22" s="264" t="s">
        <v>266</v>
      </c>
    </row>
    <row r="23" spans="1:1" ht="15.75" x14ac:dyDescent="0.2">
      <c r="A23" s="390"/>
    </row>
    <row r="24" spans="1:1" ht="15.75" x14ac:dyDescent="0.2">
      <c r="A24" s="390"/>
    </row>
    <row r="25" spans="1:1" ht="31.5" x14ac:dyDescent="0.2">
      <c r="A25" s="264" t="s">
        <v>267</v>
      </c>
    </row>
    <row r="26" spans="1:1" ht="15.75" x14ac:dyDescent="0.2">
      <c r="A26" s="263"/>
    </row>
    <row r="27" spans="1:1" ht="15.75" x14ac:dyDescent="0.2">
      <c r="A27" s="263"/>
    </row>
    <row r="28" spans="1:1" ht="60" x14ac:dyDescent="0.2">
      <c r="A28" s="391" t="s">
        <v>268</v>
      </c>
    </row>
    <row r="29" spans="1:1" x14ac:dyDescent="0.2">
      <c r="A29" s="392"/>
    </row>
    <row r="30" spans="1:1" x14ac:dyDescent="0.2">
      <c r="A30" s="392"/>
    </row>
    <row r="31" spans="1:1" ht="47.25" x14ac:dyDescent="0.2">
      <c r="A31" s="264" t="s">
        <v>269</v>
      </c>
    </row>
    <row r="32" spans="1:1" ht="15.75" x14ac:dyDescent="0.2">
      <c r="A32" s="263"/>
    </row>
    <row r="33" spans="1:1" ht="15.75" x14ac:dyDescent="0.2">
      <c r="A33" s="263"/>
    </row>
    <row r="34" spans="1:1" ht="66.75" customHeight="1" x14ac:dyDescent="0.25">
      <c r="A34" s="388" t="s">
        <v>612</v>
      </c>
    </row>
    <row r="35" spans="1:1" ht="15.75" x14ac:dyDescent="0.2">
      <c r="A35" s="263"/>
    </row>
    <row r="36" spans="1:1" ht="15.75" x14ac:dyDescent="0.2">
      <c r="A36" s="263"/>
    </row>
    <row r="37" spans="1:1" ht="63" x14ac:dyDescent="0.2">
      <c r="A37" s="393" t="s">
        <v>270</v>
      </c>
    </row>
    <row r="38" spans="1:1" ht="15.75" x14ac:dyDescent="0.2">
      <c r="A38" s="390"/>
    </row>
    <row r="39" spans="1:1" ht="15.75" x14ac:dyDescent="0.2">
      <c r="A39" s="263"/>
    </row>
    <row r="40" spans="1:1" ht="63" x14ac:dyDescent="0.2">
      <c r="A40" s="264" t="s">
        <v>271</v>
      </c>
    </row>
    <row r="41" spans="1:1" ht="15.75" x14ac:dyDescent="0.2">
      <c r="A41" s="390"/>
    </row>
    <row r="42" spans="1:1" ht="15.75" x14ac:dyDescent="0.2">
      <c r="A42" s="390"/>
    </row>
    <row r="43" spans="1:1" ht="82.5" customHeight="1" x14ac:dyDescent="0.25">
      <c r="A43" s="386" t="s">
        <v>613</v>
      </c>
    </row>
    <row r="44" spans="1:1" ht="15.75" x14ac:dyDescent="0.2">
      <c r="A44" s="390"/>
    </row>
    <row r="45" spans="1:1" ht="15.75" x14ac:dyDescent="0.2">
      <c r="A45" s="390"/>
    </row>
    <row r="46" spans="1:1" ht="69" customHeight="1" x14ac:dyDescent="0.25">
      <c r="A46" s="386" t="s">
        <v>614</v>
      </c>
    </row>
    <row r="47" spans="1:1" ht="15.75" x14ac:dyDescent="0.2">
      <c r="A47" s="390"/>
    </row>
    <row r="48" spans="1:1" ht="15.75" x14ac:dyDescent="0.2">
      <c r="A48" s="390"/>
    </row>
    <row r="49" spans="1:1" ht="69" customHeight="1" x14ac:dyDescent="0.25">
      <c r="A49" s="386" t="s">
        <v>615</v>
      </c>
    </row>
    <row r="50" spans="1:1" ht="15.75" x14ac:dyDescent="0.2">
      <c r="A50" s="390"/>
    </row>
    <row r="51" spans="1:1" ht="15.75" x14ac:dyDescent="0.2">
      <c r="A51" s="390"/>
    </row>
    <row r="52" spans="1:1" ht="54.75" customHeight="1" x14ac:dyDescent="0.25">
      <c r="A52" s="386" t="s">
        <v>726</v>
      </c>
    </row>
    <row r="53" spans="1:1" ht="15.75" x14ac:dyDescent="0.2">
      <c r="A53" s="390"/>
    </row>
    <row r="54" spans="1:1" ht="15.75" x14ac:dyDescent="0.2">
      <c r="A54" s="390"/>
    </row>
    <row r="55" spans="1:1" ht="63" x14ac:dyDescent="0.2">
      <c r="A55" s="264" t="s">
        <v>272</v>
      </c>
    </row>
    <row r="56" spans="1:1" ht="15.75" x14ac:dyDescent="0.2">
      <c r="A56" s="390"/>
    </row>
    <row r="57" spans="1:1" ht="15.75" x14ac:dyDescent="0.2">
      <c r="A57" s="390"/>
    </row>
    <row r="58" spans="1:1" ht="63" x14ac:dyDescent="0.2">
      <c r="A58" s="264" t="s">
        <v>273</v>
      </c>
    </row>
    <row r="59" spans="1:1" ht="15.75" x14ac:dyDescent="0.2">
      <c r="A59" s="390"/>
    </row>
    <row r="60" spans="1:1" ht="15.75" x14ac:dyDescent="0.2">
      <c r="A60" s="390"/>
    </row>
    <row r="61" spans="1:1" ht="47.25" x14ac:dyDescent="0.2">
      <c r="A61" s="264" t="s">
        <v>274</v>
      </c>
    </row>
    <row r="62" spans="1:1" ht="15.75" x14ac:dyDescent="0.2">
      <c r="A62" s="390"/>
    </row>
    <row r="63" spans="1:1" ht="15.75" x14ac:dyDescent="0.2">
      <c r="A63" s="390"/>
    </row>
    <row r="64" spans="1:1" ht="47.25" x14ac:dyDescent="0.2">
      <c r="A64" s="264" t="s">
        <v>275</v>
      </c>
    </row>
    <row r="65" spans="1:1" ht="15.75" x14ac:dyDescent="0.2">
      <c r="A65" s="390"/>
    </row>
    <row r="66" spans="1:1" ht="15.75" x14ac:dyDescent="0.2">
      <c r="A66" s="390"/>
    </row>
    <row r="67" spans="1:1" ht="78.75" x14ac:dyDescent="0.2">
      <c r="A67" s="264" t="s">
        <v>276</v>
      </c>
    </row>
    <row r="68" spans="1:1" x14ac:dyDescent="0.2">
      <c r="A68" s="394"/>
    </row>
  </sheetData>
  <sheetProtection sheet="1" objects="1" scenarios="1"/>
  <pageMargins left="0.7" right="0.7" top="0.75" bottom="0.75" header="0.3" footer="0.3"/>
  <pageSetup orientation="portrait" r:id="rId1"/>
  <headerFooter>
    <oddFooter>&amp;Lrevised 10/2/09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C9DC4551578746BB2D5CB3C7D70B0F" ma:contentTypeVersion="9" ma:contentTypeDescription="Create a new document." ma:contentTypeScope="" ma:versionID="e7fe1cf8449dd3f7a19afea7d63c3dac">
  <xsd:schema xmlns:xsd="http://www.w3.org/2001/XMLSchema" xmlns:xs="http://www.w3.org/2001/XMLSchema" xmlns:p="http://schemas.microsoft.com/office/2006/metadata/properties" xmlns:ns2="1895758b-fcac-4748-aa0a-5720d2d7d486" xmlns:ns3="7e2d0d8f-ac74-4d4c-8884-aff3748a733a" xmlns:ns4="a9343af4-2466-41a9-9238-9dddcc3e6066" targetNamespace="http://schemas.microsoft.com/office/2006/metadata/properties" ma:root="true" ma:fieldsID="97bc813d7a6bf988cbea9a149a214d39" ns2:_="" ns3:_="" ns4:_="">
    <xsd:import namespace="1895758b-fcac-4748-aa0a-5720d2d7d486"/>
    <xsd:import namespace="7e2d0d8f-ac74-4d4c-8884-aff3748a733a"/>
    <xsd:import namespace="a9343af4-2466-41a9-9238-9dddcc3e606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5758b-fcac-4748-aa0a-5720d2d7d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2d0d8f-ac74-4d4c-8884-aff3748a73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343af4-2466-41a9-9238-9dddcc3e6066"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8A8FCF-CE84-4F37-B5AF-C8B9D90EB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5758b-fcac-4748-aa0a-5720d2d7d486"/>
    <ds:schemaRef ds:uri="7e2d0d8f-ac74-4d4c-8884-aff3748a733a"/>
    <ds:schemaRef ds:uri="a9343af4-2466-41a9-9238-9dddcc3e60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A671DD-030E-464D-946A-FCBB93A7F1D9}">
  <ds:schemaRefs>
    <ds:schemaRef ds:uri="1895758b-fcac-4748-aa0a-5720d2d7d486"/>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a9343af4-2466-41a9-9238-9dddcc3e6066"/>
    <ds:schemaRef ds:uri="7e2d0d8f-ac74-4d4c-8884-aff3748a733a"/>
    <ds:schemaRef ds:uri="http://www.w3.org/XML/1998/namespace"/>
    <ds:schemaRef ds:uri="http://purl.org/dc/dcmitype/"/>
  </ds:schemaRefs>
</ds:datastoreItem>
</file>

<file path=customXml/itemProps3.xml><?xml version="1.0" encoding="utf-8"?>
<ds:datastoreItem xmlns:ds="http://schemas.openxmlformats.org/officeDocument/2006/customXml" ds:itemID="{E0F6272C-B342-4676-8D67-5CBEBB104F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16</vt:i4>
      </vt:variant>
    </vt:vector>
  </HeadingPairs>
  <TitlesOfParts>
    <vt:vector size="61" baseType="lpstr">
      <vt:lpstr>Instructions</vt:lpstr>
      <vt:lpstr>inputPrYr</vt:lpstr>
      <vt:lpstr>inputOth</vt:lpstr>
      <vt:lpstr>inputHearing</vt:lpstr>
      <vt:lpstr>CPA Summary</vt:lpstr>
      <vt:lpstr>Cert</vt:lpstr>
      <vt:lpstr>Mvalloc</vt:lpstr>
      <vt:lpstr>Transfers</vt:lpstr>
      <vt:lpstr>Transfer Statutes</vt:lpstr>
      <vt:lpstr>Debt</vt:lpstr>
      <vt:lpstr>LP Form</vt:lpstr>
      <vt:lpstr>Library Grant </vt:lpstr>
      <vt:lpstr>General</vt:lpstr>
      <vt:lpstr>General Detail</vt:lpstr>
      <vt:lpstr>DebtSvs-Library</vt:lpstr>
      <vt:lpstr>Bond &amp; Interest</vt:lpstr>
      <vt:lpstr>Levy Page 10</vt:lpstr>
      <vt:lpstr>Levy Page 11</vt:lpstr>
      <vt:lpstr>Levy Page 12</vt:lpstr>
      <vt:lpstr>Levy Page 13</vt:lpstr>
      <vt:lpstr>Spec Hwy &amp; RHID</vt:lpstr>
      <vt:lpstr>Water &amp; Sewer</vt:lpstr>
      <vt:lpstr>Trash</vt:lpstr>
      <vt:lpstr>No Levy Page 17</vt:lpstr>
      <vt:lpstr>Single No Levy Page 18</vt:lpstr>
      <vt:lpstr>Single No Levy Page 19</vt:lpstr>
      <vt:lpstr>Single No Levy Page 20</vt:lpstr>
      <vt:lpstr>Single No Levy Page 21</vt:lpstr>
      <vt:lpstr>Non-Budgeted Funds A</vt:lpstr>
      <vt:lpstr>Non-Budgeted Funds B</vt:lpstr>
      <vt:lpstr>Non-Bud Fund Statutes</vt:lpstr>
      <vt:lpstr>Budget Hearing Notice</vt:lpstr>
      <vt:lpstr>Combined Rate-Bud Hearing Notic</vt:lpstr>
      <vt:lpstr>RNR Hearing Notice</vt:lpstr>
      <vt:lpstr>NR Rebate</vt:lpstr>
      <vt:lpstr>SAMPLE Notice to County Clerk</vt:lpstr>
      <vt:lpstr>SAMPLE Res to Exceed RNR</vt:lpstr>
      <vt:lpstr>Tab A</vt:lpstr>
      <vt:lpstr>Tab B</vt:lpstr>
      <vt:lpstr>Tab C</vt:lpstr>
      <vt:lpstr>Tab D</vt:lpstr>
      <vt:lpstr>Tab E</vt:lpstr>
      <vt:lpstr>Mill Rate Computation</vt:lpstr>
      <vt:lpstr>Helpful Links</vt:lpstr>
      <vt:lpstr>Legend</vt:lpstr>
      <vt:lpstr>'Bond &amp; Interest'!Print_Area</vt:lpstr>
      <vt:lpstr>'Budget Hearing Notice'!Print_Area</vt:lpstr>
      <vt:lpstr>Cert!Print_Area</vt:lpstr>
      <vt:lpstr>'Combined Rate-Bud Hearing Notic'!Print_Area</vt:lpstr>
      <vt:lpstr>'DebtSvs-Library'!Print_Area</vt:lpstr>
      <vt:lpstr>General!Print_Area</vt:lpstr>
      <vt:lpstr>'General Detail'!Print_Area</vt:lpstr>
      <vt:lpstr>inputPrYr!Print_Area</vt:lpstr>
      <vt:lpstr>'Levy Page 10'!Print_Area</vt:lpstr>
      <vt:lpstr>'Levy Page 11'!Print_Area</vt:lpstr>
      <vt:lpstr>'Levy Page 12'!Print_Area</vt:lpstr>
      <vt:lpstr>'Levy Page 13'!Print_Area</vt:lpstr>
      <vt:lpstr>'Library Grant '!Print_Area</vt:lpstr>
      <vt:lpstr>'LP Form'!Print_Area</vt:lpstr>
      <vt:lpstr>Mvalloc!Print_Area</vt:lpstr>
      <vt:lpstr>'RNR Hearing Notice'!Print_Area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Budget Form - Short</dc:title>
  <dc:creator>Barbara Butts</dc:creator>
  <cp:lastModifiedBy>cityadmin</cp:lastModifiedBy>
  <cp:lastPrinted>2022-08-23T17:34:44Z</cp:lastPrinted>
  <dcterms:created xsi:type="dcterms:W3CDTF">1999-08-03T13:11:47Z</dcterms:created>
  <dcterms:modified xsi:type="dcterms:W3CDTF">2022-08-23T19:04:21Z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0x010100DAC9DC4551578746BB2D5CB3C7D70B0F</vt:lpwstr>
  </property>
</Properties>
</file>